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f\Tarifas\Análisis (estudios en gral)\Subsidios\Subsidios RA\"/>
    </mc:Choice>
  </mc:AlternateContent>
  <xr:revisionPtr revIDLastSave="0" documentId="13_ncr:1_{64CC66CB-55DA-4C33-9A0D-DB08CB767CD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imulador Estabilización" sheetId="10" r:id="rId1"/>
    <sheet name="Vista 1" sheetId="7" r:id="rId2"/>
    <sheet name="Vista 2" sheetId="8" r:id="rId3"/>
    <sheet name="Vista 3" sheetId="9" r:id="rId4"/>
    <sheet name="CT" sheetId="5" r:id="rId5"/>
  </sheets>
  <definedNames>
    <definedName name="_xlnm.Print_Area" localSheetId="4">CT!$A$1:$K$17</definedName>
    <definedName name="_xlnm.Print_Area" localSheetId="0">'Simulador Estabilización'!$A$1:$N$53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5" l="1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F41" i="5" l="1"/>
  <c r="E41" i="5"/>
  <c r="F54" i="5"/>
  <c r="E54" i="5"/>
  <c r="E55" i="5"/>
  <c r="F22" i="5" l="1"/>
  <c r="B24" i="5" s="1"/>
  <c r="I25" i="5"/>
  <c r="I24" i="5"/>
  <c r="I23" i="5"/>
  <c r="G26" i="10"/>
  <c r="D20" i="10"/>
  <c r="E19" i="10"/>
  <c r="D19" i="10"/>
  <c r="C25" i="5" l="1"/>
  <c r="C26" i="5"/>
  <c r="B23" i="5"/>
  <c r="B25" i="5"/>
  <c r="B26" i="5"/>
  <c r="G56" i="5" s="1"/>
  <c r="G36" i="5" l="1"/>
  <c r="A37" i="5"/>
  <c r="G40" i="5"/>
  <c r="G42" i="5"/>
  <c r="A43" i="5"/>
  <c r="G46" i="5"/>
  <c r="A47" i="5"/>
  <c r="G50" i="5"/>
  <c r="A51" i="5"/>
  <c r="A44" i="5"/>
  <c r="G47" i="5"/>
  <c r="A52" i="5"/>
  <c r="G35" i="5"/>
  <c r="A36" i="5"/>
  <c r="G39" i="5"/>
  <c r="A40" i="5"/>
  <c r="A42" i="5"/>
  <c r="G45" i="5"/>
  <c r="A46" i="5"/>
  <c r="G49" i="5"/>
  <c r="A50" i="5"/>
  <c r="G53" i="5"/>
  <c r="A48" i="5"/>
  <c r="G51" i="5"/>
  <c r="G34" i="5"/>
  <c r="A35" i="5"/>
  <c r="G38" i="5"/>
  <c r="A39" i="5"/>
  <c r="G44" i="5"/>
  <c r="A45" i="5"/>
  <c r="G48" i="5"/>
  <c r="A49" i="5"/>
  <c r="G52" i="5"/>
  <c r="A53" i="5"/>
  <c r="G37" i="5"/>
  <c r="G43" i="5"/>
  <c r="A34" i="5"/>
  <c r="A38" i="5"/>
  <c r="F50" i="10"/>
  <c r="B40" i="5" s="1"/>
  <c r="B38" i="5" l="1"/>
  <c r="C38" i="5" s="1"/>
  <c r="H34" i="5"/>
  <c r="B37" i="5"/>
  <c r="N37" i="5" s="1"/>
  <c r="G41" i="5"/>
  <c r="H52" i="5"/>
  <c r="B46" i="5"/>
  <c r="N46" i="5" s="1"/>
  <c r="B47" i="5"/>
  <c r="C47" i="5" s="1"/>
  <c r="B48" i="5"/>
  <c r="C48" i="5" s="1"/>
  <c r="H44" i="5"/>
  <c r="H39" i="5"/>
  <c r="N40" i="5"/>
  <c r="C40" i="5"/>
  <c r="B52" i="5"/>
  <c r="B44" i="5"/>
  <c r="D39" i="10" s="1"/>
  <c r="B34" i="5"/>
  <c r="D29" i="10" s="1"/>
  <c r="H42" i="5"/>
  <c r="H48" i="5"/>
  <c r="H38" i="5"/>
  <c r="B43" i="5"/>
  <c r="D38" i="10" s="1"/>
  <c r="B50" i="5"/>
  <c r="B42" i="5"/>
  <c r="D37" i="10" s="1"/>
  <c r="H35" i="5"/>
  <c r="A54" i="5"/>
  <c r="G54" i="5"/>
  <c r="H36" i="5"/>
  <c r="H47" i="5"/>
  <c r="H37" i="5"/>
  <c r="H46" i="5"/>
  <c r="B49" i="5"/>
  <c r="B39" i="5"/>
  <c r="D34" i="10" s="1"/>
  <c r="B51" i="5"/>
  <c r="H53" i="5"/>
  <c r="H45" i="5"/>
  <c r="B36" i="5"/>
  <c r="A41" i="5"/>
  <c r="H51" i="5"/>
  <c r="H43" i="5"/>
  <c r="H50" i="5"/>
  <c r="B53" i="5"/>
  <c r="B45" i="5"/>
  <c r="D40" i="10" s="1"/>
  <c r="B35" i="5"/>
  <c r="H40" i="5"/>
  <c r="H49" i="5"/>
  <c r="D44" i="10"/>
  <c r="D30" i="10"/>
  <c r="C46" i="5" l="1"/>
  <c r="I46" i="5" s="1"/>
  <c r="J46" i="5" s="1"/>
  <c r="E41" i="10" s="1"/>
  <c r="N38" i="5"/>
  <c r="I40" i="5"/>
  <c r="J40" i="5" s="1"/>
  <c r="E35" i="10" s="1"/>
  <c r="C37" i="5"/>
  <c r="I37" i="5" s="1"/>
  <c r="J37" i="5" s="1"/>
  <c r="N48" i="5"/>
  <c r="N47" i="5"/>
  <c r="C53" i="5"/>
  <c r="I53" i="5" s="1"/>
  <c r="N53" i="5"/>
  <c r="C50" i="5"/>
  <c r="I50" i="5" s="1"/>
  <c r="N50" i="5"/>
  <c r="C36" i="5"/>
  <c r="N36" i="5"/>
  <c r="C42" i="5"/>
  <c r="I42" i="5" s="1"/>
  <c r="B54" i="5"/>
  <c r="N42" i="5"/>
  <c r="C52" i="5"/>
  <c r="N52" i="5"/>
  <c r="C35" i="5"/>
  <c r="I35" i="5" s="1"/>
  <c r="N35" i="5"/>
  <c r="C51" i="5"/>
  <c r="N51" i="5"/>
  <c r="C44" i="5"/>
  <c r="N44" i="5"/>
  <c r="I47" i="5"/>
  <c r="J47" i="5" s="1"/>
  <c r="I38" i="5"/>
  <c r="J38" i="5" s="1"/>
  <c r="E33" i="10" s="1"/>
  <c r="C49" i="5"/>
  <c r="N49" i="5"/>
  <c r="H54" i="5"/>
  <c r="C45" i="5"/>
  <c r="I45" i="5" s="1"/>
  <c r="N45" i="5"/>
  <c r="C39" i="5"/>
  <c r="N39" i="5"/>
  <c r="C43" i="5"/>
  <c r="I43" i="5" s="1"/>
  <c r="N43" i="5"/>
  <c r="C34" i="5"/>
  <c r="N34" i="5"/>
  <c r="B41" i="5"/>
  <c r="H41" i="5"/>
  <c r="I48" i="5"/>
  <c r="J48" i="5" s="1"/>
  <c r="D48" i="10"/>
  <c r="D31" i="10"/>
  <c r="D33" i="10"/>
  <c r="D46" i="10"/>
  <c r="D41" i="10"/>
  <c r="D45" i="10"/>
  <c r="D43" i="10"/>
  <c r="D47" i="10"/>
  <c r="D32" i="10"/>
  <c r="D42" i="10"/>
  <c r="D35" i="10"/>
  <c r="E43" i="10"/>
  <c r="N54" i="5" l="1"/>
  <c r="J35" i="5"/>
  <c r="E30" i="10" s="1"/>
  <c r="G30" i="10" s="1"/>
  <c r="L46" i="5"/>
  <c r="O46" i="5"/>
  <c r="P46" i="5" s="1"/>
  <c r="O48" i="5"/>
  <c r="P48" i="5" s="1"/>
  <c r="L48" i="5"/>
  <c r="O38" i="5"/>
  <c r="P38" i="5" s="1"/>
  <c r="L38" i="5"/>
  <c r="L37" i="5"/>
  <c r="O37" i="5"/>
  <c r="P37" i="5" s="1"/>
  <c r="I52" i="5"/>
  <c r="J52" i="5" s="1"/>
  <c r="E47" i="10" s="1"/>
  <c r="G47" i="10" s="1"/>
  <c r="J45" i="5"/>
  <c r="N41" i="5"/>
  <c r="I36" i="5"/>
  <c r="J36" i="5" s="1"/>
  <c r="E31" i="10" s="1"/>
  <c r="G31" i="10" s="1"/>
  <c r="C41" i="5"/>
  <c r="I34" i="5"/>
  <c r="I39" i="5"/>
  <c r="J39" i="5" s="1"/>
  <c r="E34" i="10" s="1"/>
  <c r="G34" i="10" s="1"/>
  <c r="C54" i="5"/>
  <c r="J42" i="5"/>
  <c r="J53" i="5"/>
  <c r="E48" i="10" s="1"/>
  <c r="J43" i="5"/>
  <c r="I51" i="5"/>
  <c r="J51" i="5" s="1"/>
  <c r="J50" i="5"/>
  <c r="E45" i="10" s="1"/>
  <c r="G45" i="10" s="1"/>
  <c r="O47" i="5"/>
  <c r="P47" i="5" s="1"/>
  <c r="L47" i="5"/>
  <c r="I44" i="5"/>
  <c r="J44" i="5" s="1"/>
  <c r="E39" i="10" s="1"/>
  <c r="G39" i="10" s="1"/>
  <c r="I49" i="5"/>
  <c r="J49" i="5" s="1"/>
  <c r="E44" i="10" s="1"/>
  <c r="G44" i="10" s="1"/>
  <c r="G43" i="10"/>
  <c r="G33" i="10"/>
  <c r="G41" i="10"/>
  <c r="E32" i="10"/>
  <c r="G32" i="10" s="1"/>
  <c r="E42" i="10"/>
  <c r="G42" i="10" s="1"/>
  <c r="D36" i="10"/>
  <c r="L35" i="5" l="1"/>
  <c r="O35" i="5"/>
  <c r="P35" i="5" s="1"/>
  <c r="I41" i="5"/>
  <c r="I54" i="5"/>
  <c r="O52" i="5"/>
  <c r="P52" i="5" s="1"/>
  <c r="L52" i="5"/>
  <c r="L49" i="5"/>
  <c r="O49" i="5"/>
  <c r="P49" i="5" s="1"/>
  <c r="O51" i="5"/>
  <c r="P51" i="5" s="1"/>
  <c r="L51" i="5"/>
  <c r="L50" i="5"/>
  <c r="O50" i="5"/>
  <c r="P50" i="5" s="1"/>
  <c r="O43" i="5"/>
  <c r="P43" i="5" s="1"/>
  <c r="L43" i="5"/>
  <c r="L42" i="5"/>
  <c r="J54" i="5"/>
  <c r="K53" i="5" s="1"/>
  <c r="K54" i="5" s="1"/>
  <c r="O42" i="5"/>
  <c r="J34" i="5"/>
  <c r="E29" i="10" s="1"/>
  <c r="G29" i="10" s="1"/>
  <c r="L45" i="5"/>
  <c r="O45" i="5"/>
  <c r="P45" i="5" s="1"/>
  <c r="O44" i="5"/>
  <c r="P44" i="5" s="1"/>
  <c r="L44" i="5"/>
  <c r="L39" i="5"/>
  <c r="O39" i="5"/>
  <c r="P39" i="5" s="1"/>
  <c r="L36" i="5"/>
  <c r="O36" i="5"/>
  <c r="P36" i="5" s="1"/>
  <c r="E40" i="10"/>
  <c r="G40" i="10" s="1"/>
  <c r="E38" i="10"/>
  <c r="G38" i="10" s="1"/>
  <c r="E37" i="10"/>
  <c r="G37" i="10" s="1"/>
  <c r="E46" i="10"/>
  <c r="G46" i="10" s="1"/>
  <c r="D49" i="10"/>
  <c r="P42" i="5" l="1"/>
  <c r="O53" i="5"/>
  <c r="P53" i="5" s="1"/>
  <c r="O34" i="5"/>
  <c r="J41" i="5"/>
  <c r="K40" i="5" s="1"/>
  <c r="L34" i="5"/>
  <c r="L53" i="5"/>
  <c r="L54" i="5" s="1"/>
  <c r="P54" i="5" l="1"/>
  <c r="O54" i="5"/>
  <c r="K41" i="5"/>
  <c r="O40" i="5"/>
  <c r="P40" i="5" s="1"/>
  <c r="L40" i="5"/>
  <c r="L41" i="5" s="1"/>
  <c r="P34" i="5"/>
  <c r="E49" i="10"/>
  <c r="F48" i="10" s="1"/>
  <c r="E36" i="10"/>
  <c r="F35" i="10" s="1"/>
  <c r="O41" i="5" l="1"/>
  <c r="P41" i="5"/>
  <c r="F49" i="10"/>
  <c r="G48" i="10"/>
  <c r="G49" i="10" s="1"/>
  <c r="F36" i="10"/>
  <c r="G35" i="10"/>
  <c r="G36" i="10" s="1"/>
</calcChain>
</file>

<file path=xl/sharedStrings.xml><?xml version="1.0" encoding="utf-8"?>
<sst xmlns="http://schemas.openxmlformats.org/spreadsheetml/2006/main" count="174" uniqueCount="88">
  <si>
    <t>Estabilización</t>
  </si>
  <si>
    <t>SIMULADOR RIEGO AGRÍCOLA</t>
  </si>
  <si>
    <t>kW</t>
  </si>
  <si>
    <t>Alta</t>
  </si>
  <si>
    <t>Baja</t>
  </si>
  <si>
    <t>kWh</t>
  </si>
  <si>
    <t>Cargos</t>
  </si>
  <si>
    <t>Riego Agrícola Baja Tensión</t>
  </si>
  <si>
    <t>Pot. Menor a 300 kW</t>
  </si>
  <si>
    <r>
      <t xml:space="preserve">Cargo por Comercialización </t>
    </r>
    <r>
      <rPr>
        <b/>
        <sz val="6"/>
        <rFont val="Arial"/>
        <family val="2"/>
      </rPr>
      <t>($/Mes)</t>
    </r>
  </si>
  <si>
    <t>Pot. desde 300 kW</t>
  </si>
  <si>
    <r>
      <t xml:space="preserve">Cargo por Uso de Red </t>
    </r>
    <r>
      <rPr>
        <b/>
        <sz val="6"/>
        <rFont val="Arial"/>
        <family val="2"/>
      </rPr>
      <t>($/Kw-Mes)</t>
    </r>
  </si>
  <si>
    <t>Riego Agrícola Media Tensión</t>
  </si>
  <si>
    <r>
      <t xml:space="preserve">Energía en Alta </t>
    </r>
    <r>
      <rPr>
        <b/>
        <sz val="6"/>
        <rFont val="Arial"/>
        <family val="2"/>
      </rPr>
      <t>($/Kwh)</t>
    </r>
  </si>
  <si>
    <r>
      <t>Energía en Baja</t>
    </r>
    <r>
      <rPr>
        <b/>
        <sz val="6"/>
        <rFont val="Arial"/>
        <family val="2"/>
      </rPr>
      <t xml:space="preserve"> ($/Kwh)</t>
    </r>
  </si>
  <si>
    <t>Energía Total Anual</t>
  </si>
  <si>
    <t xml:space="preserve">Tarifas de Referencia de RIEGO AGRÍCOLA </t>
  </si>
  <si>
    <r>
      <t xml:space="preserve">Tarifa de Referencia </t>
    </r>
    <r>
      <rPr>
        <b/>
        <vertAlign val="superscript"/>
        <sz val="12"/>
        <rFont val="Arial"/>
        <family val="2"/>
      </rPr>
      <t>(2)</t>
    </r>
  </si>
  <si>
    <r>
      <t xml:space="preserve">Pago  DISTRIBUIDORA </t>
    </r>
    <r>
      <rPr>
        <b/>
        <vertAlign val="superscript"/>
        <sz val="12"/>
        <rFont val="Arial"/>
        <family val="2"/>
      </rPr>
      <t>(3)</t>
    </r>
  </si>
  <si>
    <t>TRA BT</t>
  </si>
  <si>
    <t>TRA MT</t>
  </si>
  <si>
    <t>Pot. hasta 300 kW</t>
  </si>
  <si>
    <t>CARGO FIJO</t>
  </si>
  <si>
    <t>$/mes</t>
  </si>
  <si>
    <t>---------</t>
  </si>
  <si>
    <t>USO DE RED</t>
  </si>
  <si>
    <t>$/kW-mes</t>
  </si>
  <si>
    <t xml:space="preserve"> -Alta (de 14hs.  a 23hs.)</t>
  </si>
  <si>
    <t>$/kWh</t>
  </si>
  <si>
    <t xml:space="preserve"> -Baja (de 23hs. a 14hs.)</t>
  </si>
  <si>
    <t>Tarifas de referencia para el cálculo de la "Compensación de Riego Agrícola (art. 36 Ley 6498), Decreto 1569/09 y Decreto 1742/16".</t>
  </si>
  <si>
    <t>Tarifa Riego Agrícola Baja Tensión vs Pago a Distribuidora</t>
  </si>
  <si>
    <t>Facturación mensual ($) sin impuestos</t>
  </si>
  <si>
    <t>Factura mínima</t>
  </si>
  <si>
    <t>Nota: Los valores de la Tarifa de Referencia se aplican siempre y cuando la potencia demandada por el pozo no sea mayor a la autorizada en el Padrón de Regantes. En caso de registrarse excesos de potencia, la energía asociada se factura a Tarifa Pago a Distribuidora</t>
  </si>
  <si>
    <t>Facturación estabilizada</t>
  </si>
  <si>
    <t>Ajuste Anual Estabilización</t>
  </si>
  <si>
    <t>Facturación sin Estabilización</t>
  </si>
  <si>
    <t>Tarifa Pago a Distribuidora sin estabilización</t>
  </si>
  <si>
    <t>Diferencia (-) Subsidio del FPCT, (+) Aporte al FPCT sin estabilización</t>
  </si>
  <si>
    <t>Consumos en Alta estabilizados</t>
  </si>
  <si>
    <t>Consumos en Baja estabilizados</t>
  </si>
  <si>
    <t>Tarifa de Referencia CON estabilización</t>
  </si>
  <si>
    <t>Subtotal Básico a pagar</t>
  </si>
  <si>
    <t>Consumo del mes Agosto</t>
  </si>
  <si>
    <t>Consumo del mes Septiembre</t>
  </si>
  <si>
    <t>Consumo del mes de Julio</t>
  </si>
  <si>
    <t>Consumo del mes Octubre</t>
  </si>
  <si>
    <t>Consumo del mes Noviembre</t>
  </si>
  <si>
    <t>Consumo del mes Diciembre</t>
  </si>
  <si>
    <t>Consumo del mes Enero</t>
  </si>
  <si>
    <t>Consumo del mes Febrero</t>
  </si>
  <si>
    <t>Consumo del mes Marzo</t>
  </si>
  <si>
    <t>Consumo del mes Abril</t>
  </si>
  <si>
    <t>Consumo del mes Junio</t>
  </si>
  <si>
    <t>Consumo del mes Mayo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</si>
  <si>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</si>
  <si>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</si>
  <si>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</si>
  <si>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</si>
  <si>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</si>
  <si>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</si>
  <si>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</si>
  <si>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</si>
  <si>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</si>
  <si>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</si>
  <si>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</si>
  <si>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</si>
  <si>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</si>
  <si>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Consumo del mes</t>
  </si>
  <si>
    <t>Sin estabilización</t>
  </si>
  <si>
    <t>Con estabilización</t>
  </si>
  <si>
    <t>Diferencia en $</t>
  </si>
  <si>
    <t>Facturación en $ sin impuestos</t>
  </si>
  <si>
    <t>Tarifa de Referencia SIN estabilización</t>
  </si>
  <si>
    <t>Riego Agrícola Baja Tensión / Pot. Menor a 300 kW</t>
  </si>
  <si>
    <t>I) Datos a completar por el Usuario</t>
  </si>
  <si>
    <t>1) Nombre Usuario:</t>
  </si>
  <si>
    <t xml:space="preserve">4) Categoría Tarifaria </t>
  </si>
  <si>
    <t>2) Potencia Contratada:</t>
  </si>
  <si>
    <t>3) Consumos Anuales:</t>
  </si>
  <si>
    <t>II) Simulador anual, costos tarifarios eléctricos sin impuestos</t>
  </si>
  <si>
    <t>5) ¿El suministro pertenece al Padrón de Usuarios de Riego Agrícola aprobado por Dirección de Servicios Eléctricos?</t>
  </si>
  <si>
    <t>6) ¿El suministro posee Compensación de Riego Agrícola (art. 36 Ley 6498), Decreto 1569/09 y Decreto 1742/16?</t>
  </si>
  <si>
    <t>Tarifa Pago a Distribuidora con estabilización</t>
  </si>
  <si>
    <t>Ajuste Anual estabilización</t>
  </si>
  <si>
    <t>Nombre del Cliente o Denominación de la Entidad</t>
  </si>
  <si>
    <t>Cuadro Tarifario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</si>
</sst>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$-2C0A]\ #,##0.0;[Red][$$-2C0A]\ \-#,##0.0"/>
    <numFmt numFmtId="167" formatCode="[$$-2C0A]\ #,##0.00"/>
    <numFmt numFmtId="168" formatCode="[$$-2C0A]\ #,##0.00;[Red]\-[$$-2C0A]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4"/>
      <color rgb="FF002060"/>
      <name val="Arial"/>
      <family val="2"/>
    </font>
    <font>
      <b/>
      <sz val="16"/>
      <color rgb="FF7030A0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b/>
      <vertAlign val="superscript"/>
      <sz val="12"/>
      <name val="Arial"/>
      <family val="2"/>
    </font>
    <font>
      <sz val="9"/>
      <name val="Arial"/>
      <family val="2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  <font>
      <sz val="11"/>
      <color theme="0" tint="-0.499984740745262"/>
      <name val="Calibri"/>
      <family val="2"/>
      <scheme val="minor"/>
    </font>
    <font>
      <b/>
      <sz val="9"/>
      <name val="Arial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9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</cellStyleXfs>
  <cellXfs count="143">
    <xf numFmtId="0" fontId="0" fillId="0" borderId="0" xfId="0"/>
    <xf numFmtId="0" fontId="0" fillId="2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9" fontId="2" fillId="2" borderId="0" xfId="1" applyFont="1" applyFill="1" applyBorder="1" applyAlignment="1">
      <alignment horizontal="right"/>
    </xf>
    <xf numFmtId="0" fontId="10" fillId="4" borderId="3" xfId="0" applyFont="1" applyFill="1" applyBorder="1" applyAlignment="1">
      <alignment horizontal="center" vertical="center" wrapText="1"/>
    </xf>
    <xf numFmtId="17" fontId="10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/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9" fontId="12" fillId="2" borderId="0" xfId="1" applyFont="1" applyFill="1" applyBorder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" fontId="13" fillId="5" borderId="5" xfId="30" applyNumberFormat="1" applyFont="1" applyFill="1" applyBorder="1"/>
    <xf numFmtId="164" fontId="2" fillId="5" borderId="13" xfId="30" applyNumberFormat="1" applyFill="1" applyBorder="1"/>
    <xf numFmtId="164" fontId="15" fillId="5" borderId="13" xfId="30" applyNumberFormat="1" applyFont="1" applyFill="1" applyBorder="1" applyAlignment="1">
      <alignment vertical="top"/>
    </xf>
    <xf numFmtId="164" fontId="8" fillId="5" borderId="3" xfId="30" applyNumberFormat="1" applyFont="1" applyFill="1" applyBorder="1" applyAlignment="1">
      <alignment horizontal="center" vertical="center" wrapText="1"/>
    </xf>
    <xf numFmtId="164" fontId="8" fillId="5" borderId="1" xfId="30" applyNumberFormat="1" applyFont="1" applyFill="1" applyBorder="1" applyAlignment="1">
      <alignment horizontal="center" vertical="center" wrapText="1"/>
    </xf>
    <xf numFmtId="164" fontId="2" fillId="5" borderId="0" xfId="30" applyNumberFormat="1" applyFill="1" applyAlignment="1">
      <alignment horizontal="right"/>
    </xf>
    <xf numFmtId="164" fontId="8" fillId="5" borderId="0" xfId="30" applyNumberFormat="1" applyFont="1" applyFill="1" applyAlignment="1">
      <alignment horizontal="left"/>
    </xf>
    <xf numFmtId="164" fontId="12" fillId="3" borderId="19" xfId="30" quotePrefix="1" applyNumberFormat="1" applyFont="1" applyFill="1" applyBorder="1" applyAlignment="1">
      <alignment horizontal="center"/>
    </xf>
    <xf numFmtId="164" fontId="12" fillId="3" borderId="0" xfId="30" quotePrefix="1" applyNumberFormat="1" applyFont="1" applyFill="1" applyAlignment="1">
      <alignment horizontal="center"/>
    </xf>
    <xf numFmtId="165" fontId="12" fillId="3" borderId="19" xfId="30" applyNumberFormat="1" applyFont="1" applyFill="1" applyBorder="1" applyAlignment="1">
      <alignment horizontal="center"/>
    </xf>
    <xf numFmtId="165" fontId="12" fillId="3" borderId="20" xfId="30" applyNumberFormat="1" applyFont="1" applyFill="1" applyBorder="1" applyAlignment="1">
      <alignment horizontal="center"/>
    </xf>
    <xf numFmtId="165" fontId="12" fillId="3" borderId="0" xfId="30" applyNumberFormat="1" applyFont="1" applyFill="1" applyAlignment="1">
      <alignment horizontal="center"/>
    </xf>
    <xf numFmtId="164" fontId="2" fillId="5" borderId="0" xfId="30" applyNumberFormat="1" applyFill="1"/>
    <xf numFmtId="164" fontId="15" fillId="5" borderId="0" xfId="30" applyNumberFormat="1" applyFont="1" applyFill="1" applyAlignment="1">
      <alignment horizontal="right"/>
    </xf>
    <xf numFmtId="164" fontId="12" fillId="3" borderId="19" xfId="30" applyNumberFormat="1" applyFont="1" applyFill="1" applyBorder="1" applyAlignment="1">
      <alignment horizontal="center"/>
    </xf>
    <xf numFmtId="164" fontId="12" fillId="3" borderId="0" xfId="30" applyNumberFormat="1" applyFont="1" applyFill="1" applyAlignment="1">
      <alignment horizontal="center"/>
    </xf>
    <xf numFmtId="164" fontId="12" fillId="3" borderId="20" xfId="30" applyNumberFormat="1" applyFont="1" applyFill="1" applyBorder="1" applyAlignment="1">
      <alignment horizontal="center"/>
    </xf>
    <xf numFmtId="164" fontId="12" fillId="3" borderId="4" xfId="30" applyNumberFormat="1" applyFont="1" applyFill="1" applyBorder="1" applyAlignment="1">
      <alignment horizontal="center"/>
    </xf>
    <xf numFmtId="164" fontId="12" fillId="3" borderId="5" xfId="30" applyNumberFormat="1" applyFont="1" applyFill="1" applyBorder="1" applyAlignment="1">
      <alignment horizontal="center"/>
    </xf>
    <xf numFmtId="164" fontId="12" fillId="3" borderId="6" xfId="30" applyNumberFormat="1" applyFont="1" applyFill="1" applyBorder="1" applyAlignment="1">
      <alignment horizontal="center"/>
    </xf>
    <xf numFmtId="164" fontId="2" fillId="2" borderId="0" xfId="30" applyNumberFormat="1" applyFill="1"/>
    <xf numFmtId="164" fontId="15" fillId="2" borderId="0" xfId="30" applyNumberFormat="1" applyFont="1" applyFill="1"/>
    <xf numFmtId="164" fontId="8" fillId="2" borderId="0" xfId="30" applyNumberFormat="1" applyFont="1" applyFill="1" applyAlignment="1">
      <alignment horizontal="left"/>
    </xf>
    <xf numFmtId="1" fontId="13" fillId="5" borderId="0" xfId="30" applyNumberFormat="1" applyFont="1" applyFill="1"/>
    <xf numFmtId="164" fontId="12" fillId="3" borderId="20" xfId="30" quotePrefix="1" applyNumberFormat="1" applyFont="1" applyFill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2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center"/>
    </xf>
    <xf numFmtId="166" fontId="0" fillId="0" borderId="0" xfId="0" applyNumberFormat="1"/>
    <xf numFmtId="167" fontId="0" fillId="0" borderId="0" xfId="0" applyNumberFormat="1" applyAlignment="1">
      <alignment horizontal="center"/>
    </xf>
    <xf numFmtId="0" fontId="9" fillId="0" borderId="8" xfId="0" applyFont="1" applyBorder="1" applyAlignment="1">
      <alignment horizontal="center"/>
    </xf>
    <xf numFmtId="9" fontId="2" fillId="0" borderId="10" xfId="1" applyFont="1" applyBorder="1" applyAlignment="1">
      <alignment horizontal="center"/>
    </xf>
    <xf numFmtId="0" fontId="8" fillId="2" borderId="0" xfId="0" applyFont="1" applyFill="1" applyAlignment="1">
      <alignment wrapText="1"/>
    </xf>
    <xf numFmtId="166" fontId="2" fillId="0" borderId="21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6" fontId="2" fillId="0" borderId="24" xfId="0" applyNumberFormat="1" applyFont="1" applyBorder="1" applyAlignment="1">
      <alignment horizontal="center"/>
    </xf>
    <xf numFmtId="166" fontId="2" fillId="0" borderId="25" xfId="0" applyNumberFormat="1" applyFont="1" applyBorder="1" applyAlignment="1">
      <alignment horizontal="center"/>
    </xf>
    <xf numFmtId="166" fontId="2" fillId="0" borderId="26" xfId="0" applyNumberFormat="1" applyFont="1" applyBorder="1" applyAlignment="1">
      <alignment horizontal="center"/>
    </xf>
    <xf numFmtId="166" fontId="2" fillId="0" borderId="27" xfId="0" applyNumberFormat="1" applyFont="1" applyBorder="1" applyAlignment="1">
      <alignment horizontal="center"/>
    </xf>
    <xf numFmtId="166" fontId="2" fillId="0" borderId="28" xfId="0" applyNumberFormat="1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/>
    </xf>
    <xf numFmtId="0" fontId="0" fillId="0" borderId="7" xfId="0" applyBorder="1"/>
    <xf numFmtId="0" fontId="0" fillId="0" borderId="3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6" fontId="17" fillId="0" borderId="0" xfId="0" applyNumberFormat="1" applyFont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3" fontId="2" fillId="2" borderId="19" xfId="0" applyNumberFormat="1" applyFont="1" applyFill="1" applyBorder="1" applyAlignment="1">
      <alignment horizontal="right"/>
    </xf>
    <xf numFmtId="3" fontId="2" fillId="2" borderId="20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18" xfId="0" applyNumberFormat="1" applyFont="1" applyFill="1" applyBorder="1" applyAlignment="1">
      <alignment horizontal="right"/>
    </xf>
    <xf numFmtId="0" fontId="18" fillId="0" borderId="0" xfId="0" applyFont="1"/>
    <xf numFmtId="0" fontId="19" fillId="7" borderId="1" xfId="0" applyFont="1" applyFill="1" applyBorder="1" applyAlignment="1">
      <alignment horizontal="center" wrapText="1"/>
    </xf>
    <xf numFmtId="9" fontId="15" fillId="7" borderId="2" xfId="1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right"/>
    </xf>
    <xf numFmtId="9" fontId="10" fillId="0" borderId="0" xfId="1" applyFont="1" applyAlignment="1">
      <alignment horizontal="left"/>
    </xf>
    <xf numFmtId="3" fontId="2" fillId="3" borderId="11" xfId="0" applyNumberFormat="1" applyFont="1" applyFill="1" applyBorder="1" applyAlignment="1">
      <alignment horizontal="right"/>
    </xf>
    <xf numFmtId="3" fontId="2" fillId="3" borderId="12" xfId="0" applyNumberFormat="1" applyFont="1" applyFill="1" applyBorder="1" applyAlignment="1">
      <alignment horizontal="right"/>
    </xf>
    <xf numFmtId="3" fontId="2" fillId="3" borderId="13" xfId="0" applyNumberFormat="1" applyFont="1" applyFill="1" applyBorder="1" applyAlignment="1">
      <alignment horizontal="right"/>
    </xf>
    <xf numFmtId="3" fontId="2" fillId="3" borderId="14" xfId="0" applyNumberFormat="1" applyFont="1" applyFill="1" applyBorder="1" applyAlignment="1">
      <alignment horizontal="right"/>
    </xf>
    <xf numFmtId="3" fontId="2" fillId="3" borderId="16" xfId="0" applyNumberFormat="1" applyFont="1" applyFill="1" applyBorder="1" applyAlignment="1">
      <alignment horizontal="right"/>
    </xf>
    <xf numFmtId="3" fontId="2" fillId="3" borderId="17" xfId="0" applyNumberFormat="1" applyFont="1" applyFill="1" applyBorder="1" applyAlignment="1">
      <alignment horizontal="right"/>
    </xf>
    <xf numFmtId="3" fontId="12" fillId="2" borderId="16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/>
    </xf>
    <xf numFmtId="0" fontId="12" fillId="0" borderId="0" xfId="0" applyFont="1" applyAlignment="1">
      <alignment vertical="center" wrapText="1"/>
    </xf>
    <xf numFmtId="168" fontId="0" fillId="0" borderId="0" xfId="0" applyNumberFormat="1"/>
    <xf numFmtId="0" fontId="8" fillId="8" borderId="3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33" xfId="0" applyFill="1" applyBorder="1"/>
    <xf numFmtId="0" fontId="0" fillId="8" borderId="2" xfId="0" applyFill="1" applyBorder="1"/>
    <xf numFmtId="0" fontId="8" fillId="8" borderId="35" xfId="0" applyFont="1" applyFill="1" applyBorder="1" applyAlignment="1">
      <alignment horizontal="center" vertical="center" wrapText="1"/>
    </xf>
    <xf numFmtId="166" fontId="2" fillId="0" borderId="36" xfId="0" applyNumberFormat="1" applyFont="1" applyBorder="1" applyAlignment="1">
      <alignment horizontal="center"/>
    </xf>
    <xf numFmtId="166" fontId="2" fillId="0" borderId="37" xfId="0" applyNumberFormat="1" applyFont="1" applyBorder="1" applyAlignment="1">
      <alignment horizontal="center"/>
    </xf>
    <xf numFmtId="166" fontId="17" fillId="0" borderId="15" xfId="0" applyNumberFormat="1" applyFont="1" applyBorder="1" applyAlignment="1">
      <alignment horizontal="center"/>
    </xf>
    <xf numFmtId="166" fontId="2" fillId="0" borderId="38" xfId="0" applyNumberFormat="1" applyFont="1" applyBorder="1" applyAlignment="1">
      <alignment horizontal="center"/>
    </xf>
    <xf numFmtId="166" fontId="17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3" fontId="12" fillId="2" borderId="8" xfId="0" applyNumberFormat="1" applyFont="1" applyFill="1" applyBorder="1" applyAlignment="1">
      <alignment horizontal="center"/>
    </xf>
    <xf numFmtId="3" fontId="12" fillId="2" borderId="10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4" fontId="12" fillId="5" borderId="3" xfId="30" applyNumberFormat="1" applyFont="1" applyFill="1" applyBorder="1" applyAlignment="1">
      <alignment horizontal="center" vertical="center" wrapText="1"/>
    </xf>
    <xf numFmtId="164" fontId="12" fillId="5" borderId="3" xfId="30" applyNumberFormat="1" applyFont="1" applyFill="1" applyBorder="1" applyAlignment="1">
      <alignment horizontal="center" vertical="center"/>
    </xf>
    <xf numFmtId="164" fontId="12" fillId="5" borderId="1" xfId="30" applyNumberFormat="1" applyFont="1" applyFill="1" applyBorder="1" applyAlignment="1">
      <alignment horizontal="center" vertical="center"/>
    </xf>
    <xf numFmtId="164" fontId="12" fillId="5" borderId="7" xfId="30" applyNumberFormat="1" applyFont="1" applyFill="1" applyBorder="1" applyAlignment="1">
      <alignment horizontal="left" wrapText="1"/>
    </xf>
    <xf numFmtId="164" fontId="12" fillId="5" borderId="18" xfId="30" applyNumberFormat="1" applyFont="1" applyFill="1" applyBorder="1" applyAlignment="1">
      <alignment horizontal="left" wrapText="1"/>
    </xf>
    <xf numFmtId="164" fontId="12" fillId="5" borderId="19" xfId="30" applyNumberFormat="1" applyFont="1" applyFill="1" applyBorder="1" applyAlignment="1">
      <alignment horizontal="left" wrapText="1"/>
    </xf>
    <xf numFmtId="164" fontId="12" fillId="5" borderId="20" xfId="30" applyNumberFormat="1" applyFont="1" applyFill="1" applyBorder="1" applyAlignment="1">
      <alignment horizontal="left" wrapText="1"/>
    </xf>
    <xf numFmtId="164" fontId="12" fillId="5" borderId="4" xfId="30" applyNumberFormat="1" applyFont="1" applyFill="1" applyBorder="1" applyAlignment="1">
      <alignment horizontal="left" wrapText="1"/>
    </xf>
    <xf numFmtId="164" fontId="12" fillId="5" borderId="6" xfId="30" applyNumberFormat="1" applyFont="1" applyFill="1" applyBorder="1" applyAlignment="1">
      <alignment horizontal="left" wrapText="1"/>
    </xf>
    <xf numFmtId="164" fontId="12" fillId="5" borderId="1" xfId="30" applyNumberFormat="1" applyFont="1" applyFill="1" applyBorder="1" applyAlignment="1">
      <alignment horizontal="center" vertical="center" wrapText="1"/>
    </xf>
  </cellXfs>
  <cellStyles count="31">
    <cellStyle name="Millares 2" xfId="2" xr:uid="{00000000-0005-0000-0000-000000000000}"/>
    <cellStyle name="Millares 3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2 2 2" xfId="6" xr:uid="{00000000-0005-0000-0000-000005000000}"/>
    <cellStyle name="Normal 2 2 2 2" xfId="7" xr:uid="{00000000-0005-0000-0000-000006000000}"/>
    <cellStyle name="Normal 2 2 3" xfId="8" xr:uid="{00000000-0005-0000-0000-000007000000}"/>
    <cellStyle name="Normal 2 3" xfId="9" xr:uid="{00000000-0005-0000-0000-000008000000}"/>
    <cellStyle name="Normal 2 4" xfId="10" xr:uid="{00000000-0005-0000-0000-000009000000}"/>
    <cellStyle name="Normal 2 5" xfId="11" xr:uid="{00000000-0005-0000-0000-00000A000000}"/>
    <cellStyle name="Normal 2 5 2" xfId="12" xr:uid="{00000000-0005-0000-0000-00000B000000}"/>
    <cellStyle name="Normal 2 5 2 2" xfId="13" xr:uid="{00000000-0005-0000-0000-00000C000000}"/>
    <cellStyle name="Normal 3" xfId="14" xr:uid="{00000000-0005-0000-0000-00000D000000}"/>
    <cellStyle name="Normal 4" xfId="15" xr:uid="{00000000-0005-0000-0000-00000E000000}"/>
    <cellStyle name="Normal 5" xfId="16" xr:uid="{00000000-0005-0000-0000-00000F000000}"/>
    <cellStyle name="Normal 5 2" xfId="17" xr:uid="{00000000-0005-0000-0000-000010000000}"/>
    <cellStyle name="Normal 5 3" xfId="18" xr:uid="{00000000-0005-0000-0000-000011000000}"/>
    <cellStyle name="Normal 6" xfId="19" xr:uid="{00000000-0005-0000-0000-000012000000}"/>
    <cellStyle name="Normal 7" xfId="20" xr:uid="{00000000-0005-0000-0000-000013000000}"/>
    <cellStyle name="Normal 8" xfId="21" xr:uid="{00000000-0005-0000-0000-000014000000}"/>
    <cellStyle name="Normal 9" xfId="22" xr:uid="{00000000-0005-0000-0000-000015000000}"/>
    <cellStyle name="Normal_MENDOZA# 2" xfId="30" xr:uid="{00000000-0005-0000-0000-000016000000}"/>
    <cellStyle name="Porcentaje" xfId="1" builtinId="5"/>
    <cellStyle name="Porcentual 2" xfId="23" xr:uid="{00000000-0005-0000-0000-000018000000}"/>
    <cellStyle name="Porcentual 3" xfId="24" xr:uid="{00000000-0005-0000-0000-000019000000}"/>
    <cellStyle name="Porcentual 3 2" xfId="25" xr:uid="{00000000-0005-0000-0000-00001A000000}"/>
    <cellStyle name="Porcentual 4" xfId="26" xr:uid="{00000000-0005-0000-0000-00001B000000}"/>
    <cellStyle name="Porcentual 5" xfId="27" xr:uid="{00000000-0005-0000-0000-00001C000000}"/>
    <cellStyle name="Porcentual 6" xfId="28" xr:uid="{00000000-0005-0000-0000-00001D000000}"/>
    <cellStyle name="Porcentual 7" xfId="29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Estabilizacón facturación de Riego Agrícola.</a:t>
            </a:r>
          </a:p>
          <a:p>
            <a:pPr>
              <a:defRPr/>
            </a:pPr>
            <a:r>
              <a:rPr lang="es-ES"/>
              <a:t>Comparación Facturación sin impuestos CON y SIN Estabilización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6193863093936368E-2"/>
          <c:y val="0.11962027759349476"/>
          <c:w val="0.88713589295639761"/>
          <c:h val="0.7578720383258901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'Simulador Estabilización'!$E$28</c:f>
              <c:strCache>
                <c:ptCount val="1"/>
                <c:pt idx="0">
                  <c:v>Facturación estabilizada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('Simulador Estabilización'!$C$29:$C$35,'Simulador Estabilización'!$C$37:$C$48)</c:f>
              <c:strCache>
                <c:ptCount val="1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</c:strCache>
            </c:strRef>
          </c:cat>
          <c:val>
            <c:numRef>
              <c:f>('Simulador Estabilización'!$E$29:$E$35,'Simulador Estabilización'!$E$37:$E$48)</c:f>
              <c:numCache>
                <c:formatCode>[$$-2C0A]\ #,##0.0;[Red][$$-2C0A]\ \-#,##0.0</c:formatCode>
                <c:ptCount val="19"/>
                <c:pt idx="0">
                  <c:v>209005.16950000002</c:v>
                </c:pt>
                <c:pt idx="1">
                  <c:v>225685.17533333338</c:v>
                </c:pt>
                <c:pt idx="2">
                  <c:v>263041.91233333334</c:v>
                </c:pt>
                <c:pt idx="3">
                  <c:v>347986.99266666669</c:v>
                </c:pt>
                <c:pt idx="4">
                  <c:v>349235.96933333331</c:v>
                </c:pt>
                <c:pt idx="5">
                  <c:v>326178.73683333333</c:v>
                </c:pt>
                <c:pt idx="6">
                  <c:v>317791.76433333335</c:v>
                </c:pt>
                <c:pt idx="7">
                  <c:v>301111.7585</c:v>
                </c:pt>
                <c:pt idx="8">
                  <c:v>263755.02150000003</c:v>
                </c:pt>
                <c:pt idx="9">
                  <c:v>178809.94116666666</c:v>
                </c:pt>
                <c:pt idx="10">
                  <c:v>177560.9645</c:v>
                </c:pt>
                <c:pt idx="11">
                  <c:v>200618.19699999999</c:v>
                </c:pt>
                <c:pt idx="12">
                  <c:v>209005.16950000002</c:v>
                </c:pt>
                <c:pt idx="13">
                  <c:v>225685.17533333338</c:v>
                </c:pt>
                <c:pt idx="14">
                  <c:v>263041.91233333334</c:v>
                </c:pt>
                <c:pt idx="15">
                  <c:v>347986.99266666669</c:v>
                </c:pt>
                <c:pt idx="16">
                  <c:v>349235.96933333331</c:v>
                </c:pt>
                <c:pt idx="17">
                  <c:v>326178.73683333333</c:v>
                </c:pt>
                <c:pt idx="18">
                  <c:v>317791.76433333335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9-4D2B-8091-284DA955A6A6}"/>
            </c:ext>
          </c:extLst>
        </c:ser>
        <c:ser>
          <c:idx val="2"/>
          <c:order val="2"/>
          <c:tx>
            <c:strRef>
              <c:f>'Simulador Estabilización'!$F$28</c:f>
              <c:strCache>
                <c:ptCount val="1"/>
                <c:pt idx="0">
                  <c:v>Ajuste Anual estabilización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('Simulador Estabilización'!$C$29:$C$35,'Simulador Estabilización'!$C$37:$C$48)</c:f>
              <c:strCache>
                <c:ptCount val="1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</c:strCache>
            </c:strRef>
          </c:cat>
          <c:val>
            <c:numRef>
              <c:f>('Simulador Estabilización'!$F$29:$F$35,'Simulador Estabilización'!$F$37:$F$48)</c:f>
              <c:numCache>
                <c:formatCode>[$$-2C0A]\ #,##0.0;[Red][$$-2C0A]\ \-#,##0.0</c:formatCode>
                <c:ptCount val="19"/>
                <c:pt idx="6">
                  <c:v>100677.93166666687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9-4D2B-8091-284DA955A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"/>
        <c:overlap val="100"/>
        <c:axId val="1179135312"/>
        <c:axId val="1179135856"/>
      </c:barChart>
      <c:lineChart>
        <c:grouping val="standard"/>
        <c:varyColors val="0"/>
        <c:ser>
          <c:idx val="0"/>
          <c:order val="0"/>
          <c:tx>
            <c:strRef>
              <c:f>'Simulador Estabilización'!$D$28</c:f>
              <c:strCache>
                <c:ptCount val="1"/>
                <c:pt idx="0">
                  <c:v>Facturación sin Estabilización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4"/>
              <c:layout>
                <c:manualLayout>
                  <c:x val="-1.2350486715068765E-2"/>
                  <c:y val="5.65605075369474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29-4D2B-8091-284DA955A6A6}"/>
                </c:ext>
              </c:extLst>
            </c:dLbl>
            <c:dLbl>
              <c:idx val="16"/>
              <c:layout>
                <c:manualLayout>
                  <c:x val="-1.0063243294166402E-16"/>
                  <c:y val="5.65605075369474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9-4D2B-8091-284DA955A6A6}"/>
                </c:ext>
              </c:extLst>
            </c:dLbl>
            <c:numFmt formatCode="&quot;$&quot;#,##0_);[Red]\(&quot;$&quot;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('Simulador Estabilización'!$C$29:$C$35,'Simulador Estabilización'!$C$37:$C$48)</c:f>
              <c:strCache>
                <c:ptCount val="1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</c:strCache>
            </c:strRef>
          </c:cat>
          <c:val>
            <c:numRef>
              <c:f>('Simulador Estabilización'!$D$29:$D$35,'Simulador Estabilización'!$D$37:$D$48)</c:f>
              <c:numCache>
                <c:formatCode>[$$-2C0A]\ #,##0.0;[Red][$$-2C0A]\ \-#,##0.0</c:formatCode>
                <c:ptCount val="19"/>
                <c:pt idx="0">
                  <c:v>232853.06600000002</c:v>
                </c:pt>
                <c:pt idx="1">
                  <c:v>258605.386</c:v>
                </c:pt>
                <c:pt idx="2">
                  <c:v>380603.36599999998</c:v>
                </c:pt>
                <c:pt idx="3">
                  <c:v>666133.42599999998</c:v>
                </c:pt>
                <c:pt idx="4">
                  <c:v>232344.96600000001</c:v>
                </c:pt>
                <c:pt idx="5">
                  <c:v>186532.21100000001</c:v>
                </c:pt>
                <c:pt idx="6">
                  <c:v>182531.23100000003</c:v>
                </c:pt>
                <c:pt idx="7">
                  <c:v>158525.35100000002</c:v>
                </c:pt>
                <c:pt idx="8">
                  <c:v>156462.94400000002</c:v>
                </c:pt>
                <c:pt idx="9">
                  <c:v>156462.94400000002</c:v>
                </c:pt>
                <c:pt idx="10">
                  <c:v>224851.10600000003</c:v>
                </c:pt>
                <c:pt idx="11">
                  <c:v>324875.60600000003</c:v>
                </c:pt>
                <c:pt idx="12">
                  <c:v>232853.06600000002</c:v>
                </c:pt>
                <c:pt idx="13">
                  <c:v>258605.386</c:v>
                </c:pt>
                <c:pt idx="14">
                  <c:v>380603.36599999998</c:v>
                </c:pt>
                <c:pt idx="15">
                  <c:v>666133.42599999998</c:v>
                </c:pt>
                <c:pt idx="16">
                  <c:v>232344.96600000001</c:v>
                </c:pt>
                <c:pt idx="17">
                  <c:v>186532.21100000001</c:v>
                </c:pt>
                <c:pt idx="18">
                  <c:v>182531.23100000003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29-4D2B-8091-284DA955A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135312"/>
        <c:axId val="1179135856"/>
      </c:lineChart>
      <c:catAx>
        <c:axId val="117913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79135856"/>
        <c:crosses val="autoZero"/>
        <c:auto val="1"/>
        <c:lblAlgn val="ctr"/>
        <c:lblOffset val="100"/>
        <c:noMultiLvlLbl val="0"/>
      </c:catAx>
      <c:valAx>
        <c:axId val="117913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2C0A]\ #,##0.0;[Red][$$-2C0A]\ 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7913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Simulador Estabilización Riego Agrícola. </a:t>
            </a:r>
            <a:br>
              <a:rPr lang="es-ES"/>
            </a:br>
            <a:r>
              <a:rPr lang="es-ES"/>
              <a:t>Facturación sin Impustos. ANTES de la Estabilización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6085853506083068E-2"/>
          <c:y val="0.10745004184398321"/>
          <c:w val="0.89738521195524057"/>
          <c:h val="0.77273245659284306"/>
        </c:manualLayout>
      </c:layout>
      <c:barChart>
        <c:barDir val="col"/>
        <c:grouping val="stacked"/>
        <c:varyColors val="0"/>
        <c:ser>
          <c:idx val="14"/>
          <c:order val="0"/>
          <c:tx>
            <c:strRef>
              <c:f>'Simulador Estabilización'!$D$28</c:f>
              <c:strCache>
                <c:ptCount val="1"/>
                <c:pt idx="0">
                  <c:v>Facturación sin Estabilización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&quot;$&quot;#,##0_);[Red]\(&quot;$&quot;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('Simulador Estabilización'!$C$29:$C$35,'Simulador Estabilización'!$C$37:$C$48)</c:f>
              <c:strCache>
                <c:ptCount val="1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</c:strCache>
            </c:strRef>
          </c:cat>
          <c:val>
            <c:numRef>
              <c:f>('Simulador Estabilización'!$D$29:$D$35,'Simulador Estabilización'!$D$37:$D$48)</c:f>
              <c:numCache>
                <c:formatCode>[$$-2C0A]\ #,##0.0;[Red][$$-2C0A]\ \-#,##0.0</c:formatCode>
                <c:ptCount val="19"/>
                <c:pt idx="0">
                  <c:v>232853.06600000002</c:v>
                </c:pt>
                <c:pt idx="1">
                  <c:v>258605.386</c:v>
                </c:pt>
                <c:pt idx="2">
                  <c:v>380603.36599999998</c:v>
                </c:pt>
                <c:pt idx="3">
                  <c:v>666133.42599999998</c:v>
                </c:pt>
                <c:pt idx="4">
                  <c:v>232344.96600000001</c:v>
                </c:pt>
                <c:pt idx="5">
                  <c:v>186532.21100000001</c:v>
                </c:pt>
                <c:pt idx="6">
                  <c:v>182531.23100000003</c:v>
                </c:pt>
                <c:pt idx="7">
                  <c:v>158525.35100000002</c:v>
                </c:pt>
                <c:pt idx="8">
                  <c:v>156462.94400000002</c:v>
                </c:pt>
                <c:pt idx="9">
                  <c:v>156462.94400000002</c:v>
                </c:pt>
                <c:pt idx="10">
                  <c:v>224851.10600000003</c:v>
                </c:pt>
                <c:pt idx="11">
                  <c:v>324875.60600000003</c:v>
                </c:pt>
                <c:pt idx="12">
                  <c:v>232853.06600000002</c:v>
                </c:pt>
                <c:pt idx="13">
                  <c:v>258605.386</c:v>
                </c:pt>
                <c:pt idx="14">
                  <c:v>380603.36599999998</c:v>
                </c:pt>
                <c:pt idx="15">
                  <c:v>666133.42599999998</c:v>
                </c:pt>
                <c:pt idx="16">
                  <c:v>232344.96600000001</c:v>
                </c:pt>
                <c:pt idx="17">
                  <c:v>186532.21100000001</c:v>
                </c:pt>
                <c:pt idx="18">
                  <c:v>182531.23100000003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4-4E29-998E-311A74BED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9121712"/>
        <c:axId val="1179122256"/>
      </c:barChart>
      <c:catAx>
        <c:axId val="1179121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79122256"/>
        <c:crosses val="autoZero"/>
        <c:auto val="1"/>
        <c:lblAlgn val="ctr"/>
        <c:lblOffset val="100"/>
        <c:noMultiLvlLbl val="0"/>
      </c:catAx>
      <c:valAx>
        <c:axId val="117912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2C0A]\ #,##0.0;[Red][$$-2C0A]\ 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7912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Simulador Estabilización Riego Agrícola. </a:t>
            </a:r>
            <a:br>
              <a:rPr lang="es-ES"/>
            </a:br>
            <a:r>
              <a:rPr lang="es-ES"/>
              <a:t>Facturación estimada sin Impustos. DESPUÉS de la Estabilización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6085853506083068E-2"/>
          <c:y val="9.9077949127341247E-2"/>
          <c:w val="0.89738521195524057"/>
          <c:h val="0.7811045493094837"/>
        </c:manualLayout>
      </c:layout>
      <c:barChart>
        <c:barDir val="col"/>
        <c:grouping val="stacked"/>
        <c:varyColors val="0"/>
        <c:ser>
          <c:idx val="14"/>
          <c:order val="0"/>
          <c:tx>
            <c:strRef>
              <c:f>'Simulador Estabilización'!$E$28</c:f>
              <c:strCache>
                <c:ptCount val="1"/>
                <c:pt idx="0">
                  <c:v>Facturación estabilizada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&quot;$&quot;#,##0_);[Red]\(&quot;$&quot;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('Simulador Estabilización'!$C$29:$C$35,'Simulador Estabilización'!$C$37:$C$48)</c:f>
              <c:strCache>
                <c:ptCount val="1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</c:strCache>
            </c:strRef>
          </c:cat>
          <c:val>
            <c:numRef>
              <c:f>('Simulador Estabilización'!$E$29:$E$35,'Simulador Estabilización'!$E$37:$E$48)</c:f>
              <c:numCache>
                <c:formatCode>[$$-2C0A]\ #,##0.0;[Red][$$-2C0A]\ \-#,##0.0</c:formatCode>
                <c:ptCount val="19"/>
                <c:pt idx="0">
                  <c:v>209005.16950000002</c:v>
                </c:pt>
                <c:pt idx="1">
                  <c:v>225685.17533333338</c:v>
                </c:pt>
                <c:pt idx="2">
                  <c:v>263041.91233333334</c:v>
                </c:pt>
                <c:pt idx="3">
                  <c:v>347986.99266666669</c:v>
                </c:pt>
                <c:pt idx="4">
                  <c:v>349235.96933333331</c:v>
                </c:pt>
                <c:pt idx="5">
                  <c:v>326178.73683333333</c:v>
                </c:pt>
                <c:pt idx="6">
                  <c:v>317791.76433333335</c:v>
                </c:pt>
                <c:pt idx="7">
                  <c:v>301111.7585</c:v>
                </c:pt>
                <c:pt idx="8">
                  <c:v>263755.02150000003</c:v>
                </c:pt>
                <c:pt idx="9">
                  <c:v>178809.94116666666</c:v>
                </c:pt>
                <c:pt idx="10">
                  <c:v>177560.9645</c:v>
                </c:pt>
                <c:pt idx="11">
                  <c:v>200618.19699999999</c:v>
                </c:pt>
                <c:pt idx="12">
                  <c:v>209005.16950000002</c:v>
                </c:pt>
                <c:pt idx="13">
                  <c:v>225685.17533333338</c:v>
                </c:pt>
                <c:pt idx="14">
                  <c:v>263041.91233333334</c:v>
                </c:pt>
                <c:pt idx="15">
                  <c:v>347986.99266666669</c:v>
                </c:pt>
                <c:pt idx="16">
                  <c:v>349235.96933333331</c:v>
                </c:pt>
                <c:pt idx="17">
                  <c:v>326178.73683333333</c:v>
                </c:pt>
                <c:pt idx="18">
                  <c:v>317791.76433333335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3-476F-8AD7-64CA41328B0A}"/>
            </c:ext>
          </c:extLst>
        </c:ser>
        <c:ser>
          <c:idx val="0"/>
          <c:order val="1"/>
          <c:tx>
            <c:strRef>
              <c:f>'Simulador Estabilización'!$F$28</c:f>
              <c:strCache>
                <c:ptCount val="1"/>
                <c:pt idx="0">
                  <c:v>Ajuste Anual estabilización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('Simulador Estabilización'!$C$29:$C$35,'Simulador Estabilización'!$C$37:$C$48)</c:f>
              <c:strCache>
                <c:ptCount val="1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</c:strCache>
            </c:strRef>
          </c:cat>
          <c:val>
            <c:numRef>
              <c:f>('Simulador Estabilización'!$F$29:$F$35,'Simulador Estabilización'!$F$37:$F$48)</c:f>
              <c:numCache>
                <c:formatCode>[$$-2C0A]\ #,##0.0;[Red][$$-2C0A]\ \-#,##0.0</c:formatCode>
                <c:ptCount val="19"/>
                <c:pt idx="6">
                  <c:v>100677.93166666687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3-476F-8AD7-64CA4132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9124432"/>
        <c:axId val="1179127152"/>
      </c:barChart>
      <c:catAx>
        <c:axId val="1179124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79127152"/>
        <c:crosses val="autoZero"/>
        <c:auto val="1"/>
        <c:lblAlgn val="ctr"/>
        <c:lblOffset val="100"/>
        <c:noMultiLvlLbl val="0"/>
      </c:catAx>
      <c:valAx>
        <c:axId val="117912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2C0A]\ #,##0.0;[Red][$$-2C0A]\ 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7912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pageSetup paperSize="9" orientation="landscape" horizont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67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67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ctrlProps/ctrlProp1.xml><?xml version="1.0" encoding="utf-8"?>
<formControlPr xmlns="http://schemas.microsoft.com/office/spreadsheetml/2009/9/main" objectType="CheckBox" fmlaLink="$D$23" lockText="1"/>
</file>

<file path=xl/ctrlProps/ctrlProp2.xml><?xml version="1.0" encoding="utf-8"?>
<formControlPr xmlns="http://schemas.microsoft.com/office/spreadsheetml/2009/9/main" objectType="Drop" dropStyle="combo" dx="16" fmlaLink="CT!$G$22" fmlaRange="CT!$I$22:$I$25" sel="1" val="0"/>
</file>

<file path=xl/ctrlProps/ctrlProp3.xml><?xml version="1.0" encoding="utf-8"?>
<formControlPr xmlns="http://schemas.microsoft.com/office/spreadsheetml/2009/9/main" objectType="CheckBox" fmlaLink="$D$22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22</xdr:row>
          <xdr:rowOff>114300</xdr:rowOff>
        </xdr:from>
        <xdr:to>
          <xdr:col>4</xdr:col>
          <xdr:colOff>542925</xdr:colOff>
          <xdr:row>22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6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Suministro Compensado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20</xdr:row>
          <xdr:rowOff>47625</xdr:rowOff>
        </xdr:from>
        <xdr:to>
          <xdr:col>6</xdr:col>
          <xdr:colOff>247650</xdr:colOff>
          <xdr:row>21</xdr:row>
          <xdr:rowOff>28575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21</xdr:row>
          <xdr:rowOff>266700</xdr:rowOff>
        </xdr:from>
        <xdr:to>
          <xdr:col>4</xdr:col>
          <xdr:colOff>542925</xdr:colOff>
          <xdr:row>22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6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Suministro en Padrón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180974</xdr:colOff>
      <xdr:row>1</xdr:row>
      <xdr:rowOff>57150</xdr:rowOff>
    </xdr:from>
    <xdr:to>
      <xdr:col>15</xdr:col>
      <xdr:colOff>276224</xdr:colOff>
      <xdr:row>27</xdr:row>
      <xdr:rowOff>666750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9" y="285750"/>
          <a:ext cx="5857875" cy="640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41571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5619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0.40346</cdr:x>
      <cdr:y>0.11879</cdr:y>
    </cdr:from>
    <cdr:to>
      <cdr:x>0.70798</cdr:x>
      <cdr:y>0.30807</cdr:y>
    </cdr:to>
    <cdr:sp macro="" textlink="">
      <cdr:nvSpPr>
        <cdr:cNvPr id="3" name="1 Elipse"/>
        <cdr:cNvSpPr/>
      </cdr:nvSpPr>
      <cdr:spPr>
        <a:xfrm xmlns:a="http://schemas.openxmlformats.org/drawingml/2006/main">
          <a:off x="3738563" y="720791"/>
          <a:ext cx="2821781" cy="114849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tx2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ctr"/>
          <a:r>
            <a:rPr lang="es-ES" sz="2400" b="1"/>
            <a:t>SIN</a:t>
          </a:r>
          <a:r>
            <a:rPr lang="es-ES" sz="2400" b="1" baseline="0"/>
            <a:t> Estabilización</a:t>
          </a:r>
          <a:endParaRPr lang="es-ES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5619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0.43339</cdr:x>
      <cdr:y>0.15486</cdr:y>
    </cdr:from>
    <cdr:to>
      <cdr:x>0.72725</cdr:x>
      <cdr:y>0.33554</cdr:y>
    </cdr:to>
    <cdr:sp macro="" textlink="">
      <cdr:nvSpPr>
        <cdr:cNvPr id="4" name="1 Elipse"/>
        <cdr:cNvSpPr/>
      </cdr:nvSpPr>
      <cdr:spPr>
        <a:xfrm xmlns:a="http://schemas.openxmlformats.org/drawingml/2006/main">
          <a:off x="4015920" y="939655"/>
          <a:ext cx="2723018" cy="1096313"/>
        </a:xfrm>
        <a:prstGeom xmlns:a="http://schemas.openxmlformats.org/drawingml/2006/main" prst="ellipse">
          <a:avLst/>
        </a:prstGeom>
        <a:solidFill xmlns:a="http://schemas.openxmlformats.org/drawingml/2006/main">
          <a:srgbClr val="7030A0"/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s-ES" sz="2400" b="1"/>
            <a:t>CON Estabilización</a:t>
          </a:r>
          <a:endParaRPr lang="es-ES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AU69"/>
  <sheetViews>
    <sheetView showGridLines="0" tabSelected="1" topLeftCell="A3" zoomScaleSheetLayoutView="70" workbookViewId="0">
      <selection activeCell="D7" sqref="D7"/>
    </sheetView>
  </sheetViews>
  <sheetFormatPr baseColWidth="10" defaultRowHeight="15" x14ac:dyDescent="0.25"/>
  <cols>
    <col min="1" max="1" width="2.28515625" customWidth="1"/>
    <col min="2" max="2" width="32.5703125" customWidth="1"/>
    <col min="3" max="3" width="6.5703125" customWidth="1"/>
    <col min="4" max="4" width="14.28515625" customWidth="1"/>
    <col min="5" max="5" width="13.5703125" customWidth="1"/>
    <col min="6" max="6" width="14.28515625" customWidth="1"/>
    <col min="7" max="7" width="12.28515625" customWidth="1"/>
    <col min="8" max="8" width="8.5703125" customWidth="1"/>
    <col min="9" max="9" width="9.28515625" customWidth="1"/>
    <col min="16" max="18" width="11.42578125" customWidth="1"/>
    <col min="19" max="19" width="8.7109375" bestFit="1" customWidth="1"/>
    <col min="20" max="21" width="9.7109375" customWidth="1"/>
    <col min="22" max="22" width="5.140625" customWidth="1"/>
    <col min="23" max="24" width="9.42578125" customWidth="1"/>
    <col min="25" max="25" width="11.140625" customWidth="1"/>
    <col min="26" max="31" width="11.42578125" customWidth="1"/>
    <col min="32" max="32" width="11.85546875" customWidth="1"/>
    <col min="33" max="33" width="10.140625" customWidth="1"/>
    <col min="34" max="34" width="9.7109375" bestFit="1" customWidth="1"/>
  </cols>
  <sheetData>
    <row r="1" spans="2:8" ht="18" x14ac:dyDescent="0.25">
      <c r="B1" s="2" t="s">
        <v>1</v>
      </c>
      <c r="C1" s="2"/>
    </row>
    <row r="2" spans="2:8" ht="9.75" customHeight="1" x14ac:dyDescent="0.25"/>
    <row r="3" spans="2:8" ht="21.75" thickBot="1" x14ac:dyDescent="0.4">
      <c r="B3" s="3" t="s">
        <v>76</v>
      </c>
      <c r="C3" s="3"/>
    </row>
    <row r="4" spans="2:8" ht="15.75" thickBot="1" x14ac:dyDescent="0.3">
      <c r="B4" s="117" t="s">
        <v>77</v>
      </c>
      <c r="C4" s="115"/>
      <c r="D4" s="120" t="s">
        <v>86</v>
      </c>
      <c r="E4" s="121"/>
      <c r="F4" s="121"/>
      <c r="G4" s="122"/>
    </row>
    <row r="5" spans="2:8" ht="15.75" thickBot="1" x14ac:dyDescent="0.3">
      <c r="B5" s="117" t="s">
        <v>79</v>
      </c>
      <c r="C5" s="115"/>
      <c r="D5" s="89">
        <v>35</v>
      </c>
      <c r="E5" s="90" t="s">
        <v>2</v>
      </c>
    </row>
    <row r="6" spans="2:8" ht="15.75" thickBot="1" x14ac:dyDescent="0.3">
      <c r="B6" s="117" t="s">
        <v>80</v>
      </c>
      <c r="C6" s="115"/>
      <c r="D6" s="49" t="s">
        <v>3</v>
      </c>
      <c r="E6" s="50" t="s">
        <v>4</v>
      </c>
      <c r="F6" s="7"/>
      <c r="G6" s="6"/>
    </row>
    <row r="7" spans="2:8" x14ac:dyDescent="0.25">
      <c r="B7" s="115" t="s">
        <v>44</v>
      </c>
      <c r="C7" s="114"/>
      <c r="D7" s="91">
        <v>25</v>
      </c>
      <c r="E7" s="92">
        <v>50</v>
      </c>
      <c r="F7" s="90" t="s">
        <v>5</v>
      </c>
      <c r="G7" s="8"/>
    </row>
    <row r="8" spans="2:8" x14ac:dyDescent="0.25">
      <c r="B8" s="115" t="s">
        <v>45</v>
      </c>
      <c r="C8" s="114"/>
      <c r="D8" s="93">
        <v>10</v>
      </c>
      <c r="E8" s="94">
        <v>50</v>
      </c>
      <c r="F8" s="90" t="s">
        <v>5</v>
      </c>
      <c r="G8" s="8"/>
    </row>
    <row r="9" spans="2:8" x14ac:dyDescent="0.25">
      <c r="B9" s="115" t="s">
        <v>47</v>
      </c>
      <c r="C9" s="114"/>
      <c r="D9" s="93">
        <v>10</v>
      </c>
      <c r="E9" s="94">
        <v>50</v>
      </c>
      <c r="F9" s="90" t="s">
        <v>5</v>
      </c>
      <c r="G9" s="8"/>
    </row>
    <row r="10" spans="2:8" x14ac:dyDescent="0.25">
      <c r="B10" s="115" t="s">
        <v>48</v>
      </c>
      <c r="C10" s="114"/>
      <c r="D10" s="93">
        <v>100</v>
      </c>
      <c r="E10" s="94">
        <v>750</v>
      </c>
      <c r="F10" s="90" t="s">
        <v>5</v>
      </c>
      <c r="G10" s="8"/>
      <c r="H10" t="s">
        <v>56</v>
      </c>
    </row>
    <row r="11" spans="2:8" x14ac:dyDescent="0.25">
      <c r="B11" s="115" t="s">
        <v>49</v>
      </c>
      <c r="C11" s="114"/>
      <c r="D11" s="93">
        <v>100</v>
      </c>
      <c r="E11" s="94">
        <v>2000</v>
      </c>
      <c r="F11" s="90" t="s">
        <v>5</v>
      </c>
      <c r="G11" s="8"/>
    </row>
    <row r="12" spans="2:8" x14ac:dyDescent="0.25">
      <c r="B12" s="115" t="s">
        <v>50</v>
      </c>
      <c r="C12" s="114"/>
      <c r="D12" s="93">
        <v>100</v>
      </c>
      <c r="E12" s="94">
        <v>850</v>
      </c>
      <c r="F12" s="90" t="s">
        <v>5</v>
      </c>
      <c r="G12" s="8"/>
    </row>
    <row r="13" spans="2:8" x14ac:dyDescent="0.25">
      <c r="B13" s="115" t="s">
        <v>51</v>
      </c>
      <c r="C13" s="114"/>
      <c r="D13" s="93">
        <v>200</v>
      </c>
      <c r="E13" s="94">
        <v>1000</v>
      </c>
      <c r="F13" s="90" t="s">
        <v>5</v>
      </c>
      <c r="G13" s="8"/>
    </row>
    <row r="14" spans="2:8" x14ac:dyDescent="0.25">
      <c r="B14" s="115" t="s">
        <v>52</v>
      </c>
      <c r="C14" s="114"/>
      <c r="D14" s="93">
        <v>1000</v>
      </c>
      <c r="E14" s="94">
        <v>1150</v>
      </c>
      <c r="F14" s="90" t="s">
        <v>5</v>
      </c>
      <c r="G14" s="8"/>
    </row>
    <row r="15" spans="2:8" x14ac:dyDescent="0.25">
      <c r="B15" s="115" t="s">
        <v>53</v>
      </c>
      <c r="C15" s="114"/>
      <c r="D15" s="93">
        <v>2000</v>
      </c>
      <c r="E15" s="94">
        <v>3000</v>
      </c>
      <c r="F15" s="90" t="s">
        <v>5</v>
      </c>
      <c r="G15" s="8"/>
    </row>
    <row r="16" spans="2:8" x14ac:dyDescent="0.25">
      <c r="B16" s="115" t="s">
        <v>55</v>
      </c>
      <c r="C16" s="114"/>
      <c r="D16" s="93">
        <v>300</v>
      </c>
      <c r="E16" s="94">
        <v>500</v>
      </c>
      <c r="F16" s="90" t="s">
        <v>5</v>
      </c>
      <c r="G16" s="8"/>
    </row>
    <row r="17" spans="1:43" x14ac:dyDescent="0.25">
      <c r="B17" s="115" t="s">
        <v>54</v>
      </c>
      <c r="C17" s="114"/>
      <c r="D17" s="93">
        <v>25</v>
      </c>
      <c r="E17" s="94">
        <v>400</v>
      </c>
      <c r="F17" s="90" t="s">
        <v>5</v>
      </c>
      <c r="G17" s="8"/>
    </row>
    <row r="18" spans="1:43" ht="15.75" thickBot="1" x14ac:dyDescent="0.3">
      <c r="B18" s="115" t="s">
        <v>46</v>
      </c>
      <c r="C18" s="114"/>
      <c r="D18" s="95">
        <v>25</v>
      </c>
      <c r="E18" s="96">
        <v>350</v>
      </c>
      <c r="F18" s="90" t="s">
        <v>5</v>
      </c>
      <c r="G18" s="8"/>
    </row>
    <row r="19" spans="1:43" ht="15.75" thickBot="1" x14ac:dyDescent="0.3">
      <c r="B19" s="115"/>
      <c r="C19" s="115"/>
      <c r="D19" s="97">
        <f>SUM(D7:D18)</f>
        <v>3895</v>
      </c>
      <c r="E19" s="98">
        <f>SUM(E7:E18)</f>
        <v>10150</v>
      </c>
      <c r="F19" s="90"/>
      <c r="G19" s="14"/>
      <c r="T19" s="102"/>
    </row>
    <row r="20" spans="1:43" ht="15.75" thickBot="1" x14ac:dyDescent="0.3">
      <c r="B20" s="115" t="s">
        <v>15</v>
      </c>
      <c r="C20" s="115"/>
      <c r="D20" s="123">
        <f>SUM(D7:E18)</f>
        <v>14045</v>
      </c>
      <c r="E20" s="124"/>
      <c r="F20" s="90" t="s">
        <v>5</v>
      </c>
      <c r="T20" s="102"/>
    </row>
    <row r="21" spans="1:43" ht="23.25" customHeight="1" x14ac:dyDescent="0.25">
      <c r="B21" s="118" t="s">
        <v>78</v>
      </c>
      <c r="C21" s="116"/>
      <c r="T21" s="102"/>
    </row>
    <row r="22" spans="1:43" ht="38.25" customHeight="1" x14ac:dyDescent="0.25">
      <c r="B22" s="125" t="s">
        <v>82</v>
      </c>
      <c r="C22" s="125"/>
      <c r="D22" t="b">
        <v>0</v>
      </c>
      <c r="T22" s="102"/>
    </row>
    <row r="23" spans="1:43" ht="39.75" customHeight="1" x14ac:dyDescent="0.25">
      <c r="A23" s="103"/>
      <c r="B23" s="125" t="s">
        <v>83</v>
      </c>
      <c r="C23" s="125"/>
      <c r="D23" s="16" t="b">
        <v>0</v>
      </c>
      <c r="T23" s="102"/>
    </row>
    <row r="24" spans="1:43" ht="10.5" customHeight="1" x14ac:dyDescent="0.25"/>
    <row r="25" spans="1:43" ht="21" x14ac:dyDescent="0.35">
      <c r="B25" s="3" t="s">
        <v>81</v>
      </c>
      <c r="C25" s="3"/>
      <c r="D25" s="5"/>
      <c r="E25" s="5"/>
      <c r="G25" s="5"/>
    </row>
    <row r="26" spans="1:43" x14ac:dyDescent="0.25">
      <c r="B26" s="42" t="s">
        <v>31</v>
      </c>
      <c r="C26" s="42"/>
      <c r="D26" s="5"/>
      <c r="E26" s="5"/>
      <c r="G26" s="43" t="str">
        <f>IF(D23=TRUE,"Usuario Compensado","")</f>
        <v/>
      </c>
      <c r="H26" s="5"/>
    </row>
    <row r="27" spans="1:43" ht="17.25" customHeight="1" thickBot="1" x14ac:dyDescent="0.3"/>
    <row r="28" spans="1:43" ht="55.5" customHeight="1" x14ac:dyDescent="0.25">
      <c r="B28" s="99" t="s">
        <v>32</v>
      </c>
      <c r="C28" s="44"/>
      <c r="D28" s="104" t="s">
        <v>37</v>
      </c>
      <c r="E28" s="104" t="s">
        <v>35</v>
      </c>
      <c r="F28" s="104" t="s">
        <v>85</v>
      </c>
      <c r="G28" s="108" t="s">
        <v>72</v>
      </c>
      <c r="AQ28" s="5"/>
    </row>
    <row r="29" spans="1:43" x14ac:dyDescent="0.25">
      <c r="B29" s="76" t="s">
        <v>69</v>
      </c>
      <c r="C29" s="76" t="s">
        <v>57</v>
      </c>
      <c r="D29" s="53">
        <f>IF($D$22=FALSE,CT!A34,CT!B34)</f>
        <v>232853.06600000002</v>
      </c>
      <c r="E29" s="53">
        <f>IF($D$22=FALSE,CT!G34,CT!J34)</f>
        <v>209005.16950000002</v>
      </c>
      <c r="F29" s="57"/>
      <c r="G29" s="109">
        <f>E29+F29-D29</f>
        <v>-23847.896500000003</v>
      </c>
    </row>
    <row r="30" spans="1:43" x14ac:dyDescent="0.25">
      <c r="B30" s="76" t="s">
        <v>69</v>
      </c>
      <c r="C30" s="76" t="s">
        <v>58</v>
      </c>
      <c r="D30" s="53">
        <f>IF($D$22=FALSE,CT!A35,CT!B35)</f>
        <v>258605.386</v>
      </c>
      <c r="E30" s="53">
        <f>IF($D$22=FALSE,CT!G35,CT!J35)</f>
        <v>225685.17533333338</v>
      </c>
      <c r="F30" s="57"/>
      <c r="G30" s="109">
        <f t="shared" ref="G30:G48" si="0">E30+F30-D30</f>
        <v>-32920.210666666622</v>
      </c>
    </row>
    <row r="31" spans="1:43" x14ac:dyDescent="0.25">
      <c r="B31" s="76" t="s">
        <v>69</v>
      </c>
      <c r="C31" s="76" t="s">
        <v>59</v>
      </c>
      <c r="D31" s="53">
        <f>IF($D$22=FALSE,CT!A36,CT!B36)</f>
        <v>380603.36599999998</v>
      </c>
      <c r="E31" s="53">
        <f>IF($D$22=FALSE,CT!G36,CT!J36)</f>
        <v>263041.91233333334</v>
      </c>
      <c r="F31" s="57"/>
      <c r="G31" s="109">
        <f t="shared" si="0"/>
        <v>-117561.45366666664</v>
      </c>
    </row>
    <row r="32" spans="1:43" x14ac:dyDescent="0.25">
      <c r="B32" s="76" t="s">
        <v>69</v>
      </c>
      <c r="C32" s="76" t="s">
        <v>60</v>
      </c>
      <c r="D32" s="53">
        <f>IF($D$22=FALSE,CT!A37,CT!B37)</f>
        <v>666133.42599999998</v>
      </c>
      <c r="E32" s="53">
        <f>IF($D$22=FALSE,CT!G37,CT!J37)</f>
        <v>347986.99266666669</v>
      </c>
      <c r="F32" s="57"/>
      <c r="G32" s="109">
        <f t="shared" si="0"/>
        <v>-318146.43333333329</v>
      </c>
    </row>
    <row r="33" spans="2:47" x14ac:dyDescent="0.25">
      <c r="B33" s="76" t="s">
        <v>69</v>
      </c>
      <c r="C33" s="76" t="s">
        <v>61</v>
      </c>
      <c r="D33" s="53">
        <f>IF($D$22=FALSE,CT!A38,CT!B38)</f>
        <v>232344.96600000001</v>
      </c>
      <c r="E33" s="53">
        <f>IF($D$22=FALSE,CT!G38,CT!J38)</f>
        <v>349235.96933333331</v>
      </c>
      <c r="F33" s="57"/>
      <c r="G33" s="109">
        <f t="shared" si="0"/>
        <v>116891.0033333333</v>
      </c>
    </row>
    <row r="34" spans="2:47" x14ac:dyDescent="0.25">
      <c r="B34" s="76" t="s">
        <v>69</v>
      </c>
      <c r="C34" s="76" t="s">
        <v>62</v>
      </c>
      <c r="D34" s="53">
        <f>IF($D$22=FALSE,CT!A39,CT!B39)</f>
        <v>186532.21100000001</v>
      </c>
      <c r="E34" s="53">
        <f>IF($D$22=FALSE,CT!G39,CT!J39)</f>
        <v>326178.73683333333</v>
      </c>
      <c r="F34" s="57"/>
      <c r="G34" s="109">
        <f t="shared" si="0"/>
        <v>139646.52583333332</v>
      </c>
    </row>
    <row r="35" spans="2:47" x14ac:dyDescent="0.25">
      <c r="B35" s="77" t="s">
        <v>69</v>
      </c>
      <c r="C35" s="76" t="s">
        <v>63</v>
      </c>
      <c r="D35" s="54">
        <f>IF($D$22=FALSE,CT!A40,CT!B40)</f>
        <v>182531.23100000003</v>
      </c>
      <c r="E35" s="54">
        <f>IF($D$22=FALSE,CT!G40,CT!J40)</f>
        <v>317791.76433333335</v>
      </c>
      <c r="F35" s="59">
        <f>D36-E36</f>
        <v>100677.93166666687</v>
      </c>
      <c r="G35" s="110">
        <f t="shared" si="0"/>
        <v>235938.4650000002</v>
      </c>
    </row>
    <row r="36" spans="2:47" ht="13.5" customHeight="1" x14ac:dyDescent="0.25">
      <c r="B36" s="42"/>
      <c r="C36" s="42"/>
      <c r="D36" s="72">
        <f>SUM(D29:D35)</f>
        <v>2139603.6520000002</v>
      </c>
      <c r="E36" s="72">
        <f>SUM(E29:E35)</f>
        <v>2038925.7203333334</v>
      </c>
      <c r="F36" s="72">
        <f>SUM(F29:F35)</f>
        <v>100677.93166666687</v>
      </c>
      <c r="G36" s="111">
        <f>SUM(G29:G35)</f>
        <v>2.9103830456733704E-10</v>
      </c>
      <c r="AM36" s="47"/>
      <c r="AN36" s="47"/>
      <c r="AU36">
        <v>3</v>
      </c>
    </row>
    <row r="37" spans="2:47" x14ac:dyDescent="0.25">
      <c r="B37" s="75" t="s">
        <v>69</v>
      </c>
      <c r="C37" s="76" t="s">
        <v>64</v>
      </c>
      <c r="D37" s="52">
        <f>IF($D$22=FALSE,CT!A42,CT!B42)</f>
        <v>158525.35100000002</v>
      </c>
      <c r="E37" s="52">
        <f>IF($D$22=FALSE,CT!G42,CT!J42)</f>
        <v>301111.7585</v>
      </c>
      <c r="F37" s="55"/>
      <c r="G37" s="112">
        <f t="shared" si="0"/>
        <v>142586.40749999997</v>
      </c>
    </row>
    <row r="38" spans="2:47" x14ac:dyDescent="0.25">
      <c r="B38" s="76" t="s">
        <v>69</v>
      </c>
      <c r="C38" s="76" t="s">
        <v>65</v>
      </c>
      <c r="D38" s="53">
        <f>IF($D$22=FALSE,CT!A43,CT!B43)</f>
        <v>156462.94400000002</v>
      </c>
      <c r="E38" s="53">
        <f>IF($D$22=FALSE,CT!G43,CT!J43)</f>
        <v>263755.02150000003</v>
      </c>
      <c r="F38" s="57"/>
      <c r="G38" s="109">
        <f t="shared" si="0"/>
        <v>107292.07750000001</v>
      </c>
    </row>
    <row r="39" spans="2:47" x14ac:dyDescent="0.25">
      <c r="B39" s="76" t="s">
        <v>69</v>
      </c>
      <c r="C39" s="76" t="s">
        <v>66</v>
      </c>
      <c r="D39" s="53">
        <f>IF($D$22=FALSE,CT!A44,CT!B44)</f>
        <v>156462.94400000002</v>
      </c>
      <c r="E39" s="53">
        <f>IF($D$22=FALSE,CT!G44,CT!J44)</f>
        <v>178809.94116666666</v>
      </c>
      <c r="F39" s="57"/>
      <c r="G39" s="109">
        <f t="shared" si="0"/>
        <v>22346.997166666639</v>
      </c>
    </row>
    <row r="40" spans="2:47" x14ac:dyDescent="0.25">
      <c r="B40" s="76" t="s">
        <v>69</v>
      </c>
      <c r="C40" s="76" t="s">
        <v>67</v>
      </c>
      <c r="D40" s="53">
        <f>IF($D$22=FALSE,CT!A45,CT!B45)</f>
        <v>224851.10600000003</v>
      </c>
      <c r="E40" s="53">
        <f>IF($D$22=FALSE,CT!G45,CT!J45)</f>
        <v>177560.9645</v>
      </c>
      <c r="F40" s="57"/>
      <c r="G40" s="109">
        <f t="shared" si="0"/>
        <v>-47290.141500000027</v>
      </c>
    </row>
    <row r="41" spans="2:47" x14ac:dyDescent="0.25">
      <c r="B41" s="76" t="s">
        <v>69</v>
      </c>
      <c r="C41" s="76" t="s">
        <v>68</v>
      </c>
      <c r="D41" s="53">
        <f>IF($D$22=FALSE,CT!A46,CT!B46)</f>
        <v>324875.60600000003</v>
      </c>
      <c r="E41" s="53">
        <f>IF($D$22=FALSE,CT!G46,CT!J46)</f>
        <v>200618.19699999999</v>
      </c>
      <c r="F41" s="57"/>
      <c r="G41" s="109">
        <f t="shared" si="0"/>
        <v>-124257.40900000004</v>
      </c>
    </row>
    <row r="42" spans="2:47" x14ac:dyDescent="0.25">
      <c r="B42" s="76" t="s">
        <v>69</v>
      </c>
      <c r="C42" s="76" t="s">
        <v>57</v>
      </c>
      <c r="D42" s="53">
        <f>IF($D$22=FALSE,CT!A47,CT!B47)</f>
        <v>232853.06600000002</v>
      </c>
      <c r="E42" s="53">
        <f>IF($D$22=FALSE,CT!G47,CT!J47)</f>
        <v>209005.16950000002</v>
      </c>
      <c r="F42" s="57"/>
      <c r="G42" s="109">
        <f t="shared" si="0"/>
        <v>-23847.896500000003</v>
      </c>
    </row>
    <row r="43" spans="2:47" x14ac:dyDescent="0.25">
      <c r="B43" s="76" t="s">
        <v>69</v>
      </c>
      <c r="C43" s="76" t="s">
        <v>58</v>
      </c>
      <c r="D43" s="53">
        <f>IF($D$22=FALSE,CT!A48,CT!B48)</f>
        <v>258605.386</v>
      </c>
      <c r="E43" s="53">
        <f>IF($D$22=FALSE,CT!G48,CT!J48)</f>
        <v>225685.17533333338</v>
      </c>
      <c r="F43" s="57"/>
      <c r="G43" s="109">
        <f t="shared" si="0"/>
        <v>-32920.210666666622</v>
      </c>
    </row>
    <row r="44" spans="2:47" x14ac:dyDescent="0.25">
      <c r="B44" s="76" t="s">
        <v>69</v>
      </c>
      <c r="C44" s="76" t="s">
        <v>59</v>
      </c>
      <c r="D44" s="53">
        <f>IF($D$22=FALSE,CT!A49,CT!B49)</f>
        <v>380603.36599999998</v>
      </c>
      <c r="E44" s="53">
        <f>IF($D$22=FALSE,CT!G49,CT!J49)</f>
        <v>263041.91233333334</v>
      </c>
      <c r="F44" s="57"/>
      <c r="G44" s="109">
        <f t="shared" si="0"/>
        <v>-117561.45366666664</v>
      </c>
    </row>
    <row r="45" spans="2:47" x14ac:dyDescent="0.25">
      <c r="B45" s="76" t="s">
        <v>69</v>
      </c>
      <c r="C45" s="76" t="s">
        <v>60</v>
      </c>
      <c r="D45" s="53">
        <f>IF($D$22=FALSE,CT!A50,CT!B50)</f>
        <v>666133.42599999998</v>
      </c>
      <c r="E45" s="53">
        <f>IF($D$22=FALSE,CT!G50,CT!J50)</f>
        <v>347986.99266666669</v>
      </c>
      <c r="F45" s="57"/>
      <c r="G45" s="109">
        <f t="shared" si="0"/>
        <v>-318146.43333333329</v>
      </c>
    </row>
    <row r="46" spans="2:47" x14ac:dyDescent="0.25">
      <c r="B46" s="76" t="s">
        <v>69</v>
      </c>
      <c r="C46" s="76" t="s">
        <v>61</v>
      </c>
      <c r="D46" s="53">
        <f>IF($D$22=FALSE,CT!A51,CT!B51)</f>
        <v>232344.96600000001</v>
      </c>
      <c r="E46" s="53">
        <f>IF($D$22=FALSE,CT!G51,CT!J51)</f>
        <v>349235.96933333331</v>
      </c>
      <c r="F46" s="57"/>
      <c r="G46" s="109">
        <f t="shared" si="0"/>
        <v>116891.0033333333</v>
      </c>
    </row>
    <row r="47" spans="2:47" x14ac:dyDescent="0.25">
      <c r="B47" s="76" t="s">
        <v>69</v>
      </c>
      <c r="C47" s="76" t="s">
        <v>62</v>
      </c>
      <c r="D47" s="53">
        <f>IF($D$22=FALSE,CT!A52,CT!B52)</f>
        <v>186532.21100000001</v>
      </c>
      <c r="E47" s="53">
        <f>IF($D$22=FALSE,CT!G52,CT!J52)</f>
        <v>326178.73683333333</v>
      </c>
      <c r="F47" s="57"/>
      <c r="G47" s="109">
        <f t="shared" si="0"/>
        <v>139646.52583333332</v>
      </c>
    </row>
    <row r="48" spans="2:47" x14ac:dyDescent="0.25">
      <c r="B48" s="77" t="s">
        <v>69</v>
      </c>
      <c r="C48" s="76" t="s">
        <v>63</v>
      </c>
      <c r="D48" s="54">
        <f>IF($D$22=FALSE,CT!A53,CT!B53)</f>
        <v>182531.23100000003</v>
      </c>
      <c r="E48" s="54">
        <f>IF($D$22=FALSE,CT!G53,CT!J53)</f>
        <v>317791.76433333335</v>
      </c>
      <c r="F48" s="59">
        <f>D49-E49</f>
        <v>0</v>
      </c>
      <c r="G48" s="110">
        <f t="shared" si="0"/>
        <v>135260.53333333333</v>
      </c>
    </row>
    <row r="49" spans="2:46" ht="13.5" customHeight="1" thickBot="1" x14ac:dyDescent="0.3">
      <c r="B49" s="42"/>
      <c r="C49" s="42"/>
      <c r="D49" s="72">
        <f>SUM(D37:D48)</f>
        <v>3160781.6030000006</v>
      </c>
      <c r="E49" s="72">
        <f>SUM(E37:E48)</f>
        <v>3160781.6030000006</v>
      </c>
      <c r="F49" s="72">
        <f>SUM(F37:F48)</f>
        <v>0</v>
      </c>
      <c r="G49" s="113">
        <f>SUM(G37:G48)</f>
        <v>0</v>
      </c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AM49" s="47"/>
      <c r="AN49" s="47"/>
      <c r="AO49" s="47"/>
      <c r="AP49" s="47"/>
      <c r="AQ49" s="47"/>
      <c r="AR49" s="47"/>
      <c r="AS49" s="47"/>
      <c r="AT49" s="47"/>
    </row>
    <row r="50" spans="2:46" x14ac:dyDescent="0.25">
      <c r="E50" s="4" t="s">
        <v>33</v>
      </c>
      <c r="F50" s="46">
        <f>250*CT!B26</f>
        <v>20004.899999999998</v>
      </c>
    </row>
    <row r="52" spans="2:46" ht="15" customHeight="1" x14ac:dyDescent="0.25">
      <c r="B52" s="119" t="s">
        <v>34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</row>
    <row r="53" spans="2:46" ht="13.5" customHeight="1" x14ac:dyDescent="0.25"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67" spans="5:5" x14ac:dyDescent="0.25">
      <c r="E67" s="48"/>
    </row>
    <row r="68" spans="5:5" x14ac:dyDescent="0.25">
      <c r="E68" s="48"/>
    </row>
    <row r="69" spans="5:5" x14ac:dyDescent="0.25">
      <c r="E69" s="48"/>
    </row>
  </sheetData>
  <mergeCells count="5">
    <mergeCell ref="B52:N53"/>
    <mergeCell ref="D4:G4"/>
    <mergeCell ref="D20:E20"/>
    <mergeCell ref="B23:C23"/>
    <mergeCell ref="B22:C22"/>
  </mergeCells>
  <dataValidations count="1">
    <dataValidation type="list" allowBlank="1" showInputMessage="1" showErrorMessage="1" sqref="L18" xr:uid="{00000000-0002-0000-0000-000000000000}">
      <formula1>$Q$14:$Q$20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</xdr:col>
                    <xdr:colOff>419100</xdr:colOff>
                    <xdr:row>22</xdr:row>
                    <xdr:rowOff>114300</xdr:rowOff>
                  </from>
                  <to>
                    <xdr:col>4</xdr:col>
                    <xdr:colOff>542925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Drop Down 3">
              <controlPr defaultSize="0" autoLine="0" autoPict="0">
                <anchor moveWithCells="1">
                  <from>
                    <xdr:col>2</xdr:col>
                    <xdr:colOff>419100</xdr:colOff>
                    <xdr:row>20</xdr:row>
                    <xdr:rowOff>47625</xdr:rowOff>
                  </from>
                  <to>
                    <xdr:col>6</xdr:col>
                    <xdr:colOff>247650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</xdr:col>
                    <xdr:colOff>419100</xdr:colOff>
                    <xdr:row>21</xdr:row>
                    <xdr:rowOff>266700</xdr:rowOff>
                  </from>
                  <to>
                    <xdr:col>4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6"/>
  <sheetViews>
    <sheetView view="pageBreakPreview" zoomScaleSheetLayoutView="100" workbookViewId="0">
      <selection activeCell="A2" sqref="A2"/>
    </sheetView>
  </sheetViews>
  <sheetFormatPr baseColWidth="10" defaultRowHeight="15" x14ac:dyDescent="0.25"/>
  <cols>
    <col min="2" max="2" width="11.5703125" bestFit="1" customWidth="1"/>
    <col min="4" max="5" width="11.5703125" bestFit="1" customWidth="1"/>
    <col min="6" max="6" width="12" bestFit="1" customWidth="1"/>
    <col min="7" max="8" width="11.5703125" bestFit="1" customWidth="1"/>
    <col min="9" max="9" width="18.140625" customWidth="1"/>
    <col min="10" max="10" width="13.5703125" bestFit="1" customWidth="1"/>
    <col min="11" max="11" width="12.5703125" bestFit="1" customWidth="1"/>
  </cols>
  <sheetData>
    <row r="1" spans="1:11" ht="15.75" x14ac:dyDescent="0.25">
      <c r="A1" s="86" t="s">
        <v>87</v>
      </c>
    </row>
    <row r="2" spans="1:11" ht="14.25" customHeight="1" x14ac:dyDescent="0.25">
      <c r="B2" s="15"/>
      <c r="C2" s="16"/>
      <c r="D2" s="17">
        <v>92</v>
      </c>
      <c r="E2" s="17">
        <v>93</v>
      </c>
      <c r="F2" s="17">
        <v>102</v>
      </c>
      <c r="G2" s="17">
        <v>103</v>
      </c>
      <c r="H2" s="17">
        <v>92</v>
      </c>
      <c r="I2" s="17">
        <v>93</v>
      </c>
      <c r="J2" s="17">
        <v>102</v>
      </c>
      <c r="K2" s="17">
        <v>103</v>
      </c>
    </row>
    <row r="3" spans="1:11" ht="18" customHeight="1" x14ac:dyDescent="0.25">
      <c r="A3" s="18"/>
      <c r="B3" s="136" t="s">
        <v>16</v>
      </c>
      <c r="C3" s="137"/>
      <c r="D3" s="133" t="s">
        <v>17</v>
      </c>
      <c r="E3" s="133"/>
      <c r="F3" s="133"/>
      <c r="G3" s="142"/>
      <c r="H3" s="133" t="s">
        <v>18</v>
      </c>
      <c r="I3" s="133"/>
      <c r="J3" s="133"/>
      <c r="K3" s="133"/>
    </row>
    <row r="4" spans="1:11" ht="13.5" customHeight="1" x14ac:dyDescent="0.25">
      <c r="A4" s="18"/>
      <c r="B4" s="138"/>
      <c r="C4" s="139"/>
      <c r="D4" s="134" t="s">
        <v>19</v>
      </c>
      <c r="E4" s="134"/>
      <c r="F4" s="134" t="s">
        <v>20</v>
      </c>
      <c r="G4" s="135"/>
      <c r="H4" s="134" t="s">
        <v>19</v>
      </c>
      <c r="I4" s="134"/>
      <c r="J4" s="134" t="s">
        <v>20</v>
      </c>
      <c r="K4" s="134"/>
    </row>
    <row r="5" spans="1:11" ht="19.5" customHeight="1" x14ac:dyDescent="0.25">
      <c r="A5" s="19"/>
      <c r="B5" s="140"/>
      <c r="C5" s="141"/>
      <c r="D5" s="20" t="s">
        <v>21</v>
      </c>
      <c r="E5" s="20" t="s">
        <v>10</v>
      </c>
      <c r="F5" s="20" t="s">
        <v>21</v>
      </c>
      <c r="G5" s="21" t="s">
        <v>10</v>
      </c>
      <c r="H5" s="20" t="s">
        <v>21</v>
      </c>
      <c r="I5" s="20" t="s">
        <v>10</v>
      </c>
      <c r="J5" s="20" t="s">
        <v>21</v>
      </c>
      <c r="K5" s="20" t="s">
        <v>10</v>
      </c>
    </row>
    <row r="6" spans="1:11" x14ac:dyDescent="0.25">
      <c r="A6" s="18"/>
      <c r="B6" s="22" t="s">
        <v>22</v>
      </c>
      <c r="C6" s="23" t="s">
        <v>23</v>
      </c>
      <c r="D6" s="24" t="s">
        <v>24</v>
      </c>
      <c r="E6" s="25" t="s">
        <v>24</v>
      </c>
      <c r="F6" s="24" t="s">
        <v>24</v>
      </c>
      <c r="G6" s="25" t="s">
        <v>24</v>
      </c>
      <c r="H6" s="26">
        <v>28029.231</v>
      </c>
      <c r="I6" s="27">
        <v>28029.231</v>
      </c>
      <c r="J6" s="28">
        <v>264285.03600000002</v>
      </c>
      <c r="K6" s="27">
        <v>264285.03600000002</v>
      </c>
    </row>
    <row r="7" spans="1:11" x14ac:dyDescent="0.25">
      <c r="A7" s="18"/>
      <c r="B7" s="22" t="s">
        <v>25</v>
      </c>
      <c r="C7" s="23" t="s">
        <v>26</v>
      </c>
      <c r="D7" s="24" t="s">
        <v>24</v>
      </c>
      <c r="E7" s="25" t="s">
        <v>24</v>
      </c>
      <c r="F7" s="24" t="s">
        <v>24</v>
      </c>
      <c r="G7" s="25" t="s">
        <v>24</v>
      </c>
      <c r="H7" s="26">
        <v>3515.9369999999999</v>
      </c>
      <c r="I7" s="27">
        <v>3515.9369999999999</v>
      </c>
      <c r="J7" s="28">
        <v>2274.8200000000002</v>
      </c>
      <c r="K7" s="27">
        <v>2274.8200000000002</v>
      </c>
    </row>
    <row r="8" spans="1:11" x14ac:dyDescent="0.25">
      <c r="A8" s="29"/>
      <c r="B8" s="30" t="s">
        <v>27</v>
      </c>
      <c r="C8" s="23" t="s">
        <v>28</v>
      </c>
      <c r="D8" s="31">
        <v>272.99270000000001</v>
      </c>
      <c r="E8" s="32">
        <v>272.99270000000001</v>
      </c>
      <c r="F8" s="31">
        <v>272.48239999999998</v>
      </c>
      <c r="G8" s="32">
        <v>272.48239999999998</v>
      </c>
      <c r="H8" s="31">
        <v>137.49379999999999</v>
      </c>
      <c r="I8" s="33">
        <v>137.49379999999999</v>
      </c>
      <c r="J8" s="32">
        <v>110.1087</v>
      </c>
      <c r="K8" s="33">
        <v>110.1087</v>
      </c>
    </row>
    <row r="9" spans="1:11" x14ac:dyDescent="0.25">
      <c r="A9" s="18"/>
      <c r="B9" s="30" t="s">
        <v>29</v>
      </c>
      <c r="C9" s="23" t="s">
        <v>28</v>
      </c>
      <c r="D9" s="34">
        <v>107.2479</v>
      </c>
      <c r="E9" s="35">
        <v>107.2479</v>
      </c>
      <c r="F9" s="34">
        <v>103.42270000000001</v>
      </c>
      <c r="G9" s="36">
        <v>103.42270000000001</v>
      </c>
      <c r="H9" s="34">
        <v>80.019599999999997</v>
      </c>
      <c r="I9" s="36">
        <v>80.019599999999997</v>
      </c>
      <c r="J9" s="35">
        <v>74.654499999999999</v>
      </c>
      <c r="K9" s="36">
        <v>74.654499999999999</v>
      </c>
    </row>
    <row r="10" spans="1:11" s="1" customFormat="1" x14ac:dyDescent="0.25">
      <c r="A10" s="37"/>
      <c r="B10" s="38"/>
      <c r="C10" s="39"/>
      <c r="D10" s="40">
        <v>92</v>
      </c>
      <c r="E10" s="40">
        <v>93</v>
      </c>
      <c r="F10" s="40">
        <v>102</v>
      </c>
      <c r="G10" s="40">
        <v>103</v>
      </c>
      <c r="H10"/>
      <c r="I10"/>
      <c r="J10"/>
      <c r="K10"/>
    </row>
    <row r="11" spans="1:11" ht="19.5" customHeight="1" x14ac:dyDescent="0.25">
      <c r="A11" s="18"/>
      <c r="B11" s="136" t="s">
        <v>30</v>
      </c>
      <c r="C11" s="137"/>
      <c r="D11" s="133" t="s">
        <v>17</v>
      </c>
      <c r="E11" s="133"/>
      <c r="F11" s="133"/>
      <c r="G11" s="133"/>
    </row>
    <row r="12" spans="1:11" ht="15.75" customHeight="1" x14ac:dyDescent="0.25">
      <c r="A12" s="18"/>
      <c r="B12" s="138"/>
      <c r="C12" s="139"/>
      <c r="D12" s="134" t="s">
        <v>19</v>
      </c>
      <c r="E12" s="134"/>
      <c r="F12" s="134" t="s">
        <v>20</v>
      </c>
      <c r="G12" s="134"/>
    </row>
    <row r="13" spans="1:11" ht="19.5" customHeight="1" x14ac:dyDescent="0.25">
      <c r="A13" s="19"/>
      <c r="B13" s="140"/>
      <c r="C13" s="141"/>
      <c r="D13" s="20" t="s">
        <v>21</v>
      </c>
      <c r="E13" s="20" t="s">
        <v>10</v>
      </c>
      <c r="F13" s="20" t="s">
        <v>21</v>
      </c>
      <c r="G13" s="20" t="s">
        <v>10</v>
      </c>
    </row>
    <row r="14" spans="1:11" x14ac:dyDescent="0.25">
      <c r="A14" s="18"/>
      <c r="B14" s="22" t="s">
        <v>22</v>
      </c>
      <c r="C14" s="23" t="s">
        <v>23</v>
      </c>
      <c r="D14" s="24" t="s">
        <v>24</v>
      </c>
      <c r="E14" s="25" t="s">
        <v>24</v>
      </c>
      <c r="F14" s="24" t="s">
        <v>24</v>
      </c>
      <c r="G14" s="41" t="s">
        <v>24</v>
      </c>
    </row>
    <row r="15" spans="1:11" x14ac:dyDescent="0.25">
      <c r="A15" s="18"/>
      <c r="B15" s="22" t="s">
        <v>25</v>
      </c>
      <c r="C15" s="23" t="s">
        <v>26</v>
      </c>
      <c r="D15" s="24" t="s">
        <v>24</v>
      </c>
      <c r="E15" s="25" t="s">
        <v>24</v>
      </c>
      <c r="F15" s="24" t="s">
        <v>24</v>
      </c>
      <c r="G15" s="41" t="s">
        <v>24</v>
      </c>
    </row>
    <row r="16" spans="1:11" x14ac:dyDescent="0.25">
      <c r="A16" s="29"/>
      <c r="B16" s="30" t="s">
        <v>27</v>
      </c>
      <c r="C16" s="23" t="s">
        <v>28</v>
      </c>
      <c r="D16" s="31">
        <v>204.96180000000001</v>
      </c>
      <c r="E16" s="32">
        <v>204.96180000000001</v>
      </c>
      <c r="F16" s="31">
        <v>206.50710000000001</v>
      </c>
      <c r="G16" s="32">
        <v>206.50710000000001</v>
      </c>
    </row>
    <row r="17" spans="1:16" x14ac:dyDescent="0.25">
      <c r="A17" s="18"/>
      <c r="B17" s="30" t="s">
        <v>29</v>
      </c>
      <c r="C17" s="23" t="s">
        <v>28</v>
      </c>
      <c r="D17" s="34">
        <v>76.755799999999994</v>
      </c>
      <c r="E17" s="35">
        <v>76.755799999999994</v>
      </c>
      <c r="F17" s="34">
        <v>75.411100000000005</v>
      </c>
      <c r="G17" s="36">
        <v>75.411100000000005</v>
      </c>
    </row>
    <row r="22" spans="1:16" x14ac:dyDescent="0.25">
      <c r="A22" s="9" t="s">
        <v>6</v>
      </c>
      <c r="B22" s="10"/>
      <c r="C22" s="47"/>
      <c r="D22" s="47"/>
      <c r="E22" s="47"/>
      <c r="F22">
        <f>VLOOKUP(G22,CT!$H$22:$J$25,3,FALSE)</f>
        <v>92</v>
      </c>
      <c r="G22">
        <v>1</v>
      </c>
      <c r="H22" s="64">
        <v>1</v>
      </c>
      <c r="I22" s="65" t="s">
        <v>75</v>
      </c>
      <c r="J22" s="65">
        <v>92</v>
      </c>
      <c r="K22" s="65" t="s">
        <v>7</v>
      </c>
      <c r="L22" s="65" t="s">
        <v>8</v>
      </c>
      <c r="M22" s="66"/>
    </row>
    <row r="23" spans="1:16" x14ac:dyDescent="0.25">
      <c r="A23" s="11" t="s">
        <v>9</v>
      </c>
      <c r="B23" s="12">
        <f>HLOOKUP($F$22,CT!$H$2:$K$9,$D23,FALSE)</f>
        <v>28029.231</v>
      </c>
      <c r="C23" s="5"/>
      <c r="D23">
        <v>5</v>
      </c>
      <c r="H23" s="67">
        <v>2</v>
      </c>
      <c r="I23" t="str">
        <f>CONCATENATE(K23," / ",L23)</f>
        <v>Riego Agrícola Baja Tensión / Pot. desde 300 kW</v>
      </c>
      <c r="J23">
        <v>93</v>
      </c>
      <c r="K23" t="s">
        <v>7</v>
      </c>
      <c r="L23" t="s">
        <v>10</v>
      </c>
      <c r="M23" s="68"/>
    </row>
    <row r="24" spans="1:16" x14ac:dyDescent="0.25">
      <c r="A24" s="11" t="s">
        <v>11</v>
      </c>
      <c r="B24" s="12">
        <f>HLOOKUP($F$22,CT!$H$2:$K$9,$D24,FALSE)</f>
        <v>3515.9369999999999</v>
      </c>
      <c r="C24" s="5"/>
      <c r="D24">
        <v>6</v>
      </c>
      <c r="H24" s="67">
        <v>3</v>
      </c>
      <c r="I24" t="str">
        <f>CONCATENATE(K24," / ",L24)</f>
        <v>Riego Agrícola Media Tensión / Pot. Menor a 300 kW</v>
      </c>
      <c r="J24">
        <v>102</v>
      </c>
      <c r="K24" t="s">
        <v>12</v>
      </c>
      <c r="L24" t="s">
        <v>8</v>
      </c>
      <c r="M24" s="68"/>
    </row>
    <row r="25" spans="1:16" x14ac:dyDescent="0.25">
      <c r="A25" s="11" t="s">
        <v>13</v>
      </c>
      <c r="B25" s="12">
        <f>HLOOKUP($F$22,CT!$H$2:$K$9,$D25,FALSE)</f>
        <v>137.49379999999999</v>
      </c>
      <c r="C25" s="13">
        <f>IF('Simulador Estabilización'!$D$23=TRUE,HLOOKUP(F22,CT!$D$10:$G$17,$D25,FALSE),HLOOKUP(F22,CT!$D$2:$G$9,$D25,FALSE))</f>
        <v>272.99270000000001</v>
      </c>
      <c r="D25">
        <v>7</v>
      </c>
      <c r="H25" s="69">
        <v>4</v>
      </c>
      <c r="I25" s="70" t="str">
        <f>CONCATENATE(K25," / ",L25)</f>
        <v>Riego Agrícola Media Tensión / Pot. desde 300 kW</v>
      </c>
      <c r="J25" s="70">
        <v>103</v>
      </c>
      <c r="K25" s="70" t="s">
        <v>12</v>
      </c>
      <c r="L25" s="70" t="s">
        <v>10</v>
      </c>
      <c r="M25" s="71"/>
    </row>
    <row r="26" spans="1:16" x14ac:dyDescent="0.25">
      <c r="A26" s="11" t="s">
        <v>14</v>
      </c>
      <c r="B26" s="12">
        <f>HLOOKUP($F$22,CT!$H$2:$K$9,$D26,FALSE)</f>
        <v>80.019599999999997</v>
      </c>
      <c r="C26" s="13">
        <f>IF('Simulador Estabilización'!$D$23=TRUE,HLOOKUP(F22,CT!$D$10:$G$17,$D26,FALSE),HLOOKUP(F22,CT!$D$2:$G$9,$D26,FALSE))</f>
        <v>107.2479</v>
      </c>
      <c r="D26">
        <v>8</v>
      </c>
    </row>
    <row r="32" spans="1:16" x14ac:dyDescent="0.25">
      <c r="A32" s="130" t="s">
        <v>37</v>
      </c>
      <c r="B32" s="131"/>
      <c r="C32" s="132"/>
      <c r="E32" s="128" t="s">
        <v>35</v>
      </c>
      <c r="F32" s="129"/>
      <c r="G32" s="129"/>
      <c r="H32" s="129"/>
      <c r="I32" s="129"/>
      <c r="J32" s="129"/>
      <c r="K32" s="129"/>
      <c r="L32" s="129"/>
      <c r="N32" s="105" t="s">
        <v>73</v>
      </c>
      <c r="O32" s="106"/>
      <c r="P32" s="107"/>
    </row>
    <row r="33" spans="1:16" ht="67.5" x14ac:dyDescent="0.25">
      <c r="A33" s="61" t="s">
        <v>38</v>
      </c>
      <c r="B33" s="61" t="s">
        <v>74</v>
      </c>
      <c r="C33" s="61" t="s">
        <v>39</v>
      </c>
      <c r="D33" s="51"/>
      <c r="E33" s="87" t="s">
        <v>40</v>
      </c>
      <c r="F33" s="88" t="s">
        <v>41</v>
      </c>
      <c r="G33" s="62" t="s">
        <v>84</v>
      </c>
      <c r="H33" s="62" t="s">
        <v>42</v>
      </c>
      <c r="I33" s="62" t="s">
        <v>0</v>
      </c>
      <c r="J33" s="73" t="s">
        <v>42</v>
      </c>
      <c r="K33" s="74" t="s">
        <v>36</v>
      </c>
      <c r="L33" s="62" t="s">
        <v>43</v>
      </c>
      <c r="N33" s="101" t="s">
        <v>70</v>
      </c>
      <c r="O33" s="101" t="s">
        <v>71</v>
      </c>
      <c r="P33" s="101" t="s">
        <v>72</v>
      </c>
    </row>
    <row r="34" spans="1:16" x14ac:dyDescent="0.25">
      <c r="A34" s="53">
        <f>(CT!$B$23+CT!$B$24*'Simulador Estabilización'!$D$5+('Simulador Estabilización'!$D12*CT!$B$25)+('Simulador Estabilización'!$E12*CT!$B$26))</f>
        <v>232853.06600000002</v>
      </c>
      <c r="B34" s="53">
        <f>IF((CT!$C$25*'Simulador Estabilización'!$D12+'Simulador Estabilización'!$E12*CT!$C$26)&lt;'Simulador Estabilización'!$F$50,'Simulador Estabilización'!$F$50,(CT!$C$25*'Simulador Estabilización'!$D12+'Simulador Estabilización'!$E12*CT!$C$26))</f>
        <v>118459.985</v>
      </c>
      <c r="C34" s="53">
        <f t="shared" ref="C34:C40" si="0">B34-A34</f>
        <v>-114393.08100000002</v>
      </c>
      <c r="D34" s="45"/>
      <c r="E34" s="78">
        <f>AVERAGE('Simulador Estabilización'!D7:D12)</f>
        <v>57.5</v>
      </c>
      <c r="F34" s="79">
        <f>AVERAGE('Simulador Estabilización'!E7:E12)</f>
        <v>625</v>
      </c>
      <c r="G34" s="53">
        <f>(CT!$B$23+CT!$B$24*'Simulador Estabilización'!$D$5+($E34*CT!$B$25)+($F34*CT!$B$26))</f>
        <v>209005.16950000002</v>
      </c>
      <c r="H34" s="53">
        <f>IF((CT!$C$25*$E34+$F34*CT!$C$26)&lt;'Simulador Estabilización'!$F$50,'Simulador Estabilización'!$F$50,(CT!$C$25*$E34+$F34*CT!$C$26))</f>
        <v>82727.017749999999</v>
      </c>
      <c r="I34" s="53">
        <f t="shared" ref="I34:I40" si="1">H34-SUM(A34,C34)</f>
        <v>-35732.967250000002</v>
      </c>
      <c r="J34" s="57">
        <f t="shared" ref="J34:J40" si="2">SUM(A34,C34,I34)</f>
        <v>82727.017749999999</v>
      </c>
      <c r="K34" s="58"/>
      <c r="L34" s="53">
        <f t="shared" ref="L34:L40" si="3">SUM(J34:K34)</f>
        <v>82727.017749999999</v>
      </c>
      <c r="N34" s="47">
        <f t="shared" ref="N34:N40" si="4">+B34</f>
        <v>118459.985</v>
      </c>
      <c r="O34" s="47">
        <f t="shared" ref="O34:O40" si="5">SUM(J34:K34)</f>
        <v>82727.017749999999</v>
      </c>
      <c r="P34" s="100">
        <f t="shared" ref="P34:P40" si="6">O34-N34</f>
        <v>-35732.967250000002</v>
      </c>
    </row>
    <row r="35" spans="1:16" x14ac:dyDescent="0.25">
      <c r="A35" s="53">
        <f>(CT!$B$23+CT!$B$24*'Simulador Estabilización'!$D$5+('Simulador Estabilización'!$D13*CT!$B$25)+('Simulador Estabilización'!$E13*CT!$B$26))</f>
        <v>258605.386</v>
      </c>
      <c r="B35" s="53">
        <f>IF((CT!$C$25*'Simulador Estabilización'!$D13+'Simulador Estabilización'!$E13*CT!$C$26)&lt;'Simulador Estabilización'!$F$50,'Simulador Estabilización'!$F$50,(CT!$C$25*'Simulador Estabilización'!$D13+'Simulador Estabilización'!$E13*CT!$C$26))</f>
        <v>161846.44</v>
      </c>
      <c r="C35" s="53">
        <f t="shared" si="0"/>
        <v>-96758.945999999996</v>
      </c>
      <c r="D35" s="45"/>
      <c r="E35" s="78">
        <f>AVERAGE('Simulador Estabilización'!D8:D13)</f>
        <v>86.666666666666671</v>
      </c>
      <c r="F35" s="79">
        <f>AVERAGE('Simulador Estabilización'!E8:E13)</f>
        <v>783.33333333333337</v>
      </c>
      <c r="G35" s="53">
        <f>(CT!$B$23+CT!$B$24*'Simulador Estabilización'!$D$5+($E35*CT!$B$25)+($F35*CT!$B$26))</f>
        <v>225685.17533333338</v>
      </c>
      <c r="H35" s="53">
        <f>IF((CT!$C$25*$E35+$F35*CT!$C$26)&lt;'Simulador Estabilización'!$F$50,'Simulador Estabilización'!$F$50,(CT!$C$25*$E35+$F35*CT!$C$26))</f>
        <v>107670.22233333334</v>
      </c>
      <c r="I35" s="53">
        <f t="shared" si="1"/>
        <v>-54176.217666666664</v>
      </c>
      <c r="J35" s="57">
        <f t="shared" si="2"/>
        <v>107670.22233333334</v>
      </c>
      <c r="K35" s="58"/>
      <c r="L35" s="53">
        <f t="shared" si="3"/>
        <v>107670.22233333334</v>
      </c>
      <c r="N35" s="47">
        <f t="shared" si="4"/>
        <v>161846.44</v>
      </c>
      <c r="O35" s="47">
        <f t="shared" si="5"/>
        <v>107670.22233333334</v>
      </c>
      <c r="P35" s="100">
        <f t="shared" si="6"/>
        <v>-54176.217666666664</v>
      </c>
    </row>
    <row r="36" spans="1:16" x14ac:dyDescent="0.25">
      <c r="A36" s="53">
        <f>(CT!$B$23+CT!$B$24*'Simulador Estabilización'!$D$5+('Simulador Estabilización'!$D14*CT!$B$25)+('Simulador Estabilización'!$E14*CT!$B$26))</f>
        <v>380603.36599999998</v>
      </c>
      <c r="B36" s="53">
        <f>IF((CT!$C$25*'Simulador Estabilización'!$D14+'Simulador Estabilización'!$E14*CT!$C$26)&lt;'Simulador Estabilización'!$F$50,'Simulador Estabilización'!$F$50,(CT!$C$25*'Simulador Estabilización'!$D14+'Simulador Estabilización'!$E14*CT!$C$26))</f>
        <v>396327.78500000003</v>
      </c>
      <c r="C36" s="53">
        <f t="shared" si="0"/>
        <v>15724.419000000053</v>
      </c>
      <c r="D36" s="45"/>
      <c r="E36" s="78">
        <f>AVERAGE('Simulador Estabilización'!D9:D14)</f>
        <v>251.66666666666666</v>
      </c>
      <c r="F36" s="79">
        <f>AVERAGE('Simulador Estabilización'!E9:E14)</f>
        <v>966.66666666666663</v>
      </c>
      <c r="G36" s="53">
        <f>(CT!$B$23+CT!$B$24*'Simulador Estabilización'!$D$5+($E36*CT!$B$25)+($F36*CT!$B$26))</f>
        <v>263041.91233333334</v>
      </c>
      <c r="H36" s="53">
        <f>IF((CT!$C$25*$E36+$F36*CT!$C$26)&lt;'Simulador Estabilización'!$F$50,'Simulador Estabilización'!$F$50,(CT!$C$25*$E36+$F36*CT!$C$26))</f>
        <v>172376.13283333334</v>
      </c>
      <c r="I36" s="53">
        <f t="shared" si="1"/>
        <v>-223951.6521666667</v>
      </c>
      <c r="J36" s="57">
        <f t="shared" si="2"/>
        <v>172376.13283333334</v>
      </c>
      <c r="K36" s="58"/>
      <c r="L36" s="53">
        <f t="shared" si="3"/>
        <v>172376.13283333334</v>
      </c>
      <c r="N36" s="47">
        <f t="shared" si="4"/>
        <v>396327.78500000003</v>
      </c>
      <c r="O36" s="47">
        <f t="shared" si="5"/>
        <v>172376.13283333334</v>
      </c>
      <c r="P36" s="100">
        <f t="shared" si="6"/>
        <v>-223951.6521666667</v>
      </c>
    </row>
    <row r="37" spans="1:16" x14ac:dyDescent="0.25">
      <c r="A37" s="53">
        <f>(CT!$B$23+CT!$B$24*'Simulador Estabilización'!$D$5+('Simulador Estabilización'!$D15*CT!$B$25)+('Simulador Estabilización'!$E15*CT!$B$26))</f>
        <v>666133.42599999998</v>
      </c>
      <c r="B37" s="53">
        <f>IF((CT!$C$25*'Simulador Estabilización'!$D15+'Simulador Estabilización'!$E15*CT!$C$26)&lt;'Simulador Estabilización'!$F$50,'Simulador Estabilización'!$F$50,(CT!$C$25*'Simulador Estabilización'!$D15+'Simulador Estabilización'!$E15*CT!$C$26))</f>
        <v>867729.10000000009</v>
      </c>
      <c r="C37" s="53">
        <f t="shared" si="0"/>
        <v>201595.67400000012</v>
      </c>
      <c r="D37" s="45"/>
      <c r="E37" s="78">
        <f>AVERAGE('Simulador Estabilización'!D10:D15)</f>
        <v>583.33333333333337</v>
      </c>
      <c r="F37" s="79">
        <f>AVERAGE('Simulador Estabilización'!E10:E15)</f>
        <v>1458.3333333333333</v>
      </c>
      <c r="G37" s="53">
        <f>(CT!$B$23+CT!$B$24*'Simulador Estabilización'!$D$5+($E37*CT!$B$25)+($F37*CT!$B$26))</f>
        <v>347986.99266666669</v>
      </c>
      <c r="H37" s="53">
        <f>IF((CT!$C$25*$E37+$F37*CT!$C$26)&lt;'Simulador Estabilización'!$F$50,'Simulador Estabilización'!$F$50,(CT!$C$25*$E37+$F37*CT!$C$26))</f>
        <v>315648.9291666667</v>
      </c>
      <c r="I37" s="53">
        <f t="shared" si="1"/>
        <v>-552080.1708333334</v>
      </c>
      <c r="J37" s="57">
        <f t="shared" si="2"/>
        <v>315648.9291666667</v>
      </c>
      <c r="K37" s="58"/>
      <c r="L37" s="53">
        <f t="shared" si="3"/>
        <v>315648.9291666667</v>
      </c>
      <c r="N37" s="47">
        <f t="shared" si="4"/>
        <v>867729.10000000009</v>
      </c>
      <c r="O37" s="47">
        <f t="shared" si="5"/>
        <v>315648.9291666667</v>
      </c>
      <c r="P37" s="100">
        <f t="shared" si="6"/>
        <v>-552080.1708333334</v>
      </c>
    </row>
    <row r="38" spans="1:16" x14ac:dyDescent="0.25">
      <c r="A38" s="53">
        <f>(CT!$B$23+CT!$B$24*'Simulador Estabilización'!$D$5+('Simulador Estabilización'!$D16*CT!$B$25)+('Simulador Estabilización'!$E16*CT!$B$26))</f>
        <v>232344.96600000001</v>
      </c>
      <c r="B38" s="53">
        <f>IF((CT!$C$25*'Simulador Estabilización'!$D16+'Simulador Estabilización'!$E16*CT!$C$26)&lt;'Simulador Estabilización'!$F$50,'Simulador Estabilización'!$F$50,(CT!$C$25*'Simulador Estabilización'!$D16+'Simulador Estabilización'!$E16*CT!$C$26))</f>
        <v>135521.76</v>
      </c>
      <c r="C38" s="53">
        <f t="shared" si="0"/>
        <v>-96823.206000000006</v>
      </c>
      <c r="D38" s="45"/>
      <c r="E38" s="78">
        <f>AVERAGE('Simulador Estabilización'!D11:D16)</f>
        <v>616.66666666666663</v>
      </c>
      <c r="F38" s="79">
        <f>AVERAGE('Simulador Estabilización'!E11:E16)</f>
        <v>1416.6666666666667</v>
      </c>
      <c r="G38" s="53">
        <f>(CT!$B$23+CT!$B$24*'Simulador Estabilización'!$D$5+($E38*CT!$B$25)+($F38*CT!$B$26))</f>
        <v>349235.96933333331</v>
      </c>
      <c r="H38" s="53">
        <f>IF((CT!$C$25*$E38+$F38*CT!$C$26)&lt;'Simulador Estabilización'!$F$50,'Simulador Estabilización'!$F$50,(CT!$C$25*$E38+$F38*CT!$C$26))</f>
        <v>320280.02333333332</v>
      </c>
      <c r="I38" s="53">
        <f t="shared" si="1"/>
        <v>184758.26333333331</v>
      </c>
      <c r="J38" s="57">
        <f t="shared" si="2"/>
        <v>320280.02333333332</v>
      </c>
      <c r="K38" s="58"/>
      <c r="L38" s="53">
        <f t="shared" si="3"/>
        <v>320280.02333333332</v>
      </c>
      <c r="N38" s="47">
        <f t="shared" si="4"/>
        <v>135521.76</v>
      </c>
      <c r="O38" s="47">
        <f t="shared" si="5"/>
        <v>320280.02333333332</v>
      </c>
      <c r="P38" s="100">
        <f t="shared" si="6"/>
        <v>184758.26333333331</v>
      </c>
    </row>
    <row r="39" spans="1:16" x14ac:dyDescent="0.25">
      <c r="A39" s="53">
        <f>(CT!$B$23+CT!$B$24*'Simulador Estabilización'!$D$5+('Simulador Estabilización'!$D17*CT!$B$25)+('Simulador Estabilización'!$E17*CT!$B$26))</f>
        <v>186532.21100000001</v>
      </c>
      <c r="B39" s="53">
        <f>IF((CT!$C$25*'Simulador Estabilización'!$D17+'Simulador Estabilización'!$E17*CT!$C$26)&lt;'Simulador Estabilización'!$F$50,'Simulador Estabilización'!$F$50,(CT!$C$25*'Simulador Estabilización'!$D17+'Simulador Estabilización'!$E17*CT!$C$26))</f>
        <v>49723.977500000001</v>
      </c>
      <c r="C39" s="53">
        <f t="shared" si="0"/>
        <v>-136808.2335</v>
      </c>
      <c r="D39" s="45"/>
      <c r="E39" s="78">
        <f>AVERAGE('Simulador Estabilización'!D12:D17)</f>
        <v>604.16666666666663</v>
      </c>
      <c r="F39" s="79">
        <f>AVERAGE('Simulador Estabilización'!E12:E17)</f>
        <v>1150</v>
      </c>
      <c r="G39" s="53">
        <f>(CT!$B$23+CT!$B$24*'Simulador Estabilización'!$D$5+($E39*CT!$B$25)+($F39*CT!$B$26))</f>
        <v>326178.73683333333</v>
      </c>
      <c r="H39" s="53">
        <f>IF((CT!$C$25*$E39+$F39*CT!$C$26)&lt;'Simulador Estabilización'!$F$50,'Simulador Estabilización'!$F$50,(CT!$C$25*$E39+$F39*CT!$C$26))</f>
        <v>288268.17458333331</v>
      </c>
      <c r="I39" s="53">
        <f t="shared" si="1"/>
        <v>238544.1970833333</v>
      </c>
      <c r="J39" s="57">
        <f t="shared" si="2"/>
        <v>288268.17458333331</v>
      </c>
      <c r="K39" s="58"/>
      <c r="L39" s="53">
        <f t="shared" si="3"/>
        <v>288268.17458333331</v>
      </c>
      <c r="N39" s="47">
        <f t="shared" si="4"/>
        <v>49723.977500000001</v>
      </c>
      <c r="O39" s="47">
        <f t="shared" si="5"/>
        <v>288268.17458333331</v>
      </c>
      <c r="P39" s="100">
        <f t="shared" si="6"/>
        <v>238544.1970833333</v>
      </c>
    </row>
    <row r="40" spans="1:16" x14ac:dyDescent="0.25">
      <c r="A40" s="54">
        <f>(CT!$B$23+CT!$B$24*'Simulador Estabilización'!$D$5+('Simulador Estabilización'!$D18*CT!$B$25)+('Simulador Estabilización'!$E18*CT!$B$26))</f>
        <v>182531.23100000003</v>
      </c>
      <c r="B40" s="54">
        <f>IF((CT!$C$25*'Simulador Estabilización'!$D18+'Simulador Estabilización'!$E18*CT!$C$26)&lt;'Simulador Estabilización'!$F$50,'Simulador Estabilización'!$F$50,(CT!$C$25*'Simulador Estabilización'!$D18+'Simulador Estabilización'!$E18*CT!$C$26))</f>
        <v>44361.582499999997</v>
      </c>
      <c r="C40" s="54">
        <f t="shared" si="0"/>
        <v>-138169.64850000004</v>
      </c>
      <c r="D40" s="45"/>
      <c r="E40" s="80">
        <f>AVERAGE('Simulador Estabilización'!D13:D18)</f>
        <v>591.66666666666663</v>
      </c>
      <c r="F40" s="81">
        <f>AVERAGE('Simulador Estabilización'!E13:E18)</f>
        <v>1066.6666666666667</v>
      </c>
      <c r="G40" s="54">
        <f>(CT!$B$23+CT!$B$24*'Simulador Estabilización'!$D$5+($E40*CT!$B$25)+($F40*CT!$B$26))</f>
        <v>317791.76433333335</v>
      </c>
      <c r="H40" s="54">
        <f>IF((CT!$C$25*$E40+$F40*CT!$C$26)&lt;'Simulador Estabilización'!$F$50,'Simulador Estabilización'!$F$50,(CT!$C$25*$E40+$F40*CT!$C$26))</f>
        <v>275918.4408333333</v>
      </c>
      <c r="I40" s="54">
        <f t="shared" si="1"/>
        <v>231556.85833333331</v>
      </c>
      <c r="J40" s="59">
        <f t="shared" si="2"/>
        <v>275918.4408333333</v>
      </c>
      <c r="K40" s="60">
        <f>B41-J41</f>
        <v>211081.68916666671</v>
      </c>
      <c r="L40" s="54">
        <f t="shared" si="3"/>
        <v>487000.13</v>
      </c>
      <c r="N40" s="47">
        <f t="shared" si="4"/>
        <v>44361.582499999997</v>
      </c>
      <c r="O40" s="47">
        <f t="shared" si="5"/>
        <v>487000.13</v>
      </c>
      <c r="P40" s="100">
        <f t="shared" si="6"/>
        <v>442638.54749999999</v>
      </c>
    </row>
    <row r="41" spans="1:16" x14ac:dyDescent="0.25">
      <c r="A41" s="72">
        <f>SUM(A34:A40)</f>
        <v>2139603.6520000002</v>
      </c>
      <c r="B41" s="72">
        <f>SUM(B34:B40)</f>
        <v>1773970.6300000001</v>
      </c>
      <c r="C41" s="72">
        <f>SUM(C34:C40)</f>
        <v>-365633.02199999988</v>
      </c>
      <c r="E41" s="82">
        <f t="shared" ref="E41:L41" si="7">SUM(E34:E40)</f>
        <v>2791.6666666666665</v>
      </c>
      <c r="F41" s="83">
        <f t="shared" si="7"/>
        <v>7466.666666666667</v>
      </c>
      <c r="G41" s="72">
        <f t="shared" si="7"/>
        <v>2038925.7203333334</v>
      </c>
      <c r="H41" s="72">
        <f t="shared" si="7"/>
        <v>1562888.9408333334</v>
      </c>
      <c r="I41" s="72">
        <f t="shared" si="7"/>
        <v>-211081.68916666691</v>
      </c>
      <c r="J41" s="72">
        <f t="shared" si="7"/>
        <v>1562888.9408333334</v>
      </c>
      <c r="K41" s="72">
        <f t="shared" si="7"/>
        <v>211081.68916666671</v>
      </c>
      <c r="L41" s="72">
        <f t="shared" si="7"/>
        <v>1773970.63</v>
      </c>
      <c r="N41" s="72">
        <f>SUM(N34:N40)</f>
        <v>1773970.6300000001</v>
      </c>
      <c r="O41" s="72">
        <f>SUM(O34:O40)</f>
        <v>1773970.63</v>
      </c>
      <c r="P41" s="72">
        <f>SUM(P34:P40)</f>
        <v>0</v>
      </c>
    </row>
    <row r="42" spans="1:16" x14ac:dyDescent="0.25">
      <c r="A42" s="52">
        <f>(CT!$B$23+CT!$B$24*'Simulador Estabilización'!$D$5+('Simulador Estabilización'!$D7*CT!$B$25)+('Simulador Estabilización'!$E7*CT!$B$26))</f>
        <v>158525.35100000002</v>
      </c>
      <c r="B42" s="52">
        <f>IF((CT!$C$25*'Simulador Estabilización'!$D7+'Simulador Estabilización'!$E7*CT!$C$26)&lt;'Simulador Estabilización'!$F$50,'Simulador Estabilización'!$F$50,(CT!$C$25*'Simulador Estabilización'!$D7+'Simulador Estabilización'!$E7*CT!$C$26))</f>
        <v>20004.899999999998</v>
      </c>
      <c r="C42" s="52">
        <f t="shared" ref="C42:C53" si="8">B42-A42</f>
        <v>-138520.45100000003</v>
      </c>
      <c r="D42" s="45"/>
      <c r="E42" s="84">
        <f>AVERAGE('Simulador Estabilización'!D7,'Simulador Estabilización'!D14:D18)</f>
        <v>562.5</v>
      </c>
      <c r="F42" s="85">
        <f>AVERAGE('Simulador Estabilización'!E7,'Simulador Estabilización'!E14:E18)</f>
        <v>908.33333333333337</v>
      </c>
      <c r="G42" s="52">
        <f>(CT!$B$23+CT!$B$24*'Simulador Estabilización'!$D$5+($E42*CT!$B$25)+($F42*CT!$B$26))</f>
        <v>301111.7585</v>
      </c>
      <c r="H42" s="52">
        <f>IF((CT!$C$25*$E42+$F42*CT!$C$26)&lt;'Simulador Estabilización'!$F$50,'Simulador Estabilización'!$F$50,(CT!$C$25*$E42+$F42*CT!$C$26))</f>
        <v>250975.23625000002</v>
      </c>
      <c r="I42" s="52">
        <f t="shared" ref="I42:I53" si="9">H42-SUM(A42,C42)</f>
        <v>230970.33625000002</v>
      </c>
      <c r="J42" s="55">
        <f t="shared" ref="J42:J53" si="10">SUM(A42,C42,I42)</f>
        <v>250975.23625000002</v>
      </c>
      <c r="K42" s="56"/>
      <c r="L42" s="52">
        <f t="shared" ref="L42:L53" si="11">SUM(J42:K42)</f>
        <v>250975.23625000002</v>
      </c>
      <c r="N42" s="47">
        <f t="shared" ref="N42:N53" si="12">+B42</f>
        <v>20004.899999999998</v>
      </c>
      <c r="O42" s="47">
        <f t="shared" ref="O42:O53" si="13">SUM(J42:K42)</f>
        <v>250975.23625000002</v>
      </c>
      <c r="P42" s="100">
        <f t="shared" ref="P42:P53" si="14">O42-N42</f>
        <v>230970.33625000002</v>
      </c>
    </row>
    <row r="43" spans="1:16" x14ac:dyDescent="0.25">
      <c r="A43" s="53">
        <f>(CT!$B$23+CT!$B$24*'Simulador Estabilización'!$D$5+('Simulador Estabilización'!$D8*CT!$B$25)+('Simulador Estabilización'!$E8*CT!$B$26))</f>
        <v>156462.94400000002</v>
      </c>
      <c r="B43" s="53">
        <f>IF((CT!$C$25*'Simulador Estabilización'!$D8+'Simulador Estabilización'!$E8*CT!$C$26)&lt;'Simulador Estabilización'!$F$50,'Simulador Estabilización'!$F$50,(CT!$C$25*'Simulador Estabilización'!$D8+'Simulador Estabilización'!$E8*CT!$C$26))</f>
        <v>20004.899999999998</v>
      </c>
      <c r="C43" s="53">
        <f t="shared" si="8"/>
        <v>-136458.04400000002</v>
      </c>
      <c r="D43" s="45"/>
      <c r="E43" s="78">
        <f>AVERAGE('Simulador Estabilización'!D7:D8,'Simulador Estabilización'!D15:D18)</f>
        <v>397.5</v>
      </c>
      <c r="F43" s="79">
        <f>AVERAGE('Simulador Estabilización'!E7:E8,'Simulador Estabilización'!E15:E18)</f>
        <v>725</v>
      </c>
      <c r="G43" s="53">
        <f>(CT!$B$23+CT!$B$24*'Simulador Estabilización'!$D$5+($E43*CT!$B$25)+($F43*CT!$B$26))</f>
        <v>263755.02150000003</v>
      </c>
      <c r="H43" s="53">
        <f>IF((CT!$C$25*$E43+$F43*CT!$C$26)&lt;'Simulador Estabilización'!$F$50,'Simulador Estabilización'!$F$50,(CT!$C$25*$E43+$F43*CT!$C$26))</f>
        <v>186269.32575000002</v>
      </c>
      <c r="I43" s="53">
        <f t="shared" si="9"/>
        <v>166264.42575000002</v>
      </c>
      <c r="J43" s="57">
        <f t="shared" si="10"/>
        <v>186269.32575000002</v>
      </c>
      <c r="K43" s="58"/>
      <c r="L43" s="53">
        <f t="shared" si="11"/>
        <v>186269.32575000002</v>
      </c>
      <c r="N43" s="47">
        <f t="shared" si="12"/>
        <v>20004.899999999998</v>
      </c>
      <c r="O43" s="47">
        <f t="shared" si="13"/>
        <v>186269.32575000002</v>
      </c>
      <c r="P43" s="100">
        <f t="shared" si="14"/>
        <v>166264.42575000002</v>
      </c>
    </row>
    <row r="44" spans="1:16" x14ac:dyDescent="0.25">
      <c r="A44" s="53">
        <f>(CT!$B$23+CT!$B$24*'Simulador Estabilización'!$D$5+('Simulador Estabilización'!$D9*CT!$B$25)+('Simulador Estabilización'!$E9*CT!$B$26))</f>
        <v>156462.94400000002</v>
      </c>
      <c r="B44" s="53">
        <f>IF((CT!$C$25*'Simulador Estabilización'!$D9+'Simulador Estabilización'!$E9*CT!$C$26)&lt;'Simulador Estabilización'!$F$50,'Simulador Estabilización'!$F$50,(CT!$C$25*'Simulador Estabilización'!$D9+'Simulador Estabilización'!$E9*CT!$C$26))</f>
        <v>20004.899999999998</v>
      </c>
      <c r="C44" s="53">
        <f t="shared" si="8"/>
        <v>-136458.04400000002</v>
      </c>
      <c r="D44" s="45"/>
      <c r="E44" s="78">
        <f>AVERAGE('Simulador Estabilización'!D7:D9,'Simulador Estabilización'!D16:D18)</f>
        <v>65.833333333333329</v>
      </c>
      <c r="F44" s="79">
        <f>AVERAGE('Simulador Estabilización'!E7:E9,'Simulador Estabilización'!E16:E18)</f>
        <v>233.33333333333334</v>
      </c>
      <c r="G44" s="53">
        <f>(CT!$B$23+CT!$B$24*'Simulador Estabilización'!$D$5+($E44*CT!$B$25)+($F44*CT!$B$26))</f>
        <v>178809.94116666666</v>
      </c>
      <c r="H44" s="53">
        <f>IF((CT!$C$25*$E44+$F44*CT!$C$26)&lt;'Simulador Estabilización'!$F$50,'Simulador Estabilización'!$F$50,(CT!$C$25*$E44+$F44*CT!$C$26))</f>
        <v>42996.529416666672</v>
      </c>
      <c r="I44" s="53">
        <f t="shared" si="9"/>
        <v>22991.629416666678</v>
      </c>
      <c r="J44" s="57">
        <f t="shared" si="10"/>
        <v>42996.529416666672</v>
      </c>
      <c r="K44" s="58"/>
      <c r="L44" s="53">
        <f t="shared" si="11"/>
        <v>42996.529416666672</v>
      </c>
      <c r="N44" s="47">
        <f t="shared" si="12"/>
        <v>20004.899999999998</v>
      </c>
      <c r="O44" s="47">
        <f t="shared" si="13"/>
        <v>42996.529416666672</v>
      </c>
      <c r="P44" s="100">
        <f t="shared" si="14"/>
        <v>22991.629416666674</v>
      </c>
    </row>
    <row r="45" spans="1:16" x14ac:dyDescent="0.25">
      <c r="A45" s="53">
        <f>(CT!$B$23+CT!$B$24*'Simulador Estabilización'!$D$5+('Simulador Estabilización'!$D10*CT!$B$25)+('Simulador Estabilización'!$E10*CT!$B$26))</f>
        <v>224851.10600000003</v>
      </c>
      <c r="B45" s="53">
        <f>IF((CT!$C$25*'Simulador Estabilización'!$D10+'Simulador Estabilización'!$E10*CT!$C$26)&lt;'Simulador Estabilización'!$F$50,'Simulador Estabilización'!$F$50,(CT!$C$25*'Simulador Estabilización'!$D10+'Simulador Estabilización'!$E10*CT!$C$26))</f>
        <v>107735.19500000001</v>
      </c>
      <c r="C45" s="53">
        <f t="shared" si="8"/>
        <v>-117115.91100000002</v>
      </c>
      <c r="D45" s="45"/>
      <c r="E45" s="78">
        <f>AVERAGE('Simulador Estabilización'!D7:D10,'Simulador Estabilización'!D17:D18)</f>
        <v>32.5</v>
      </c>
      <c r="F45" s="79">
        <f>AVERAGE('Simulador Estabilización'!E7:E10,'Simulador Estabilización'!E17:E18)</f>
        <v>275</v>
      </c>
      <c r="G45" s="53">
        <f>(CT!$B$23+CT!$B$24*'Simulador Estabilización'!$D$5+($E45*CT!$B$25)+($F45*CT!$B$26))</f>
        <v>177560.9645</v>
      </c>
      <c r="H45" s="53">
        <f>IF((CT!$C$25*$E45+$F45*CT!$C$26)&lt;'Simulador Estabilización'!$F$50,'Simulador Estabilización'!$F$50,(CT!$C$25*$E45+$F45*CT!$C$26))</f>
        <v>38365.435250000002</v>
      </c>
      <c r="I45" s="53">
        <f t="shared" si="9"/>
        <v>-69369.759749999997</v>
      </c>
      <c r="J45" s="57">
        <f t="shared" si="10"/>
        <v>38365.43525000001</v>
      </c>
      <c r="K45" s="58"/>
      <c r="L45" s="53">
        <f t="shared" si="11"/>
        <v>38365.43525000001</v>
      </c>
      <c r="N45" s="47">
        <f t="shared" si="12"/>
        <v>107735.19500000001</v>
      </c>
      <c r="O45" s="47">
        <f t="shared" si="13"/>
        <v>38365.43525000001</v>
      </c>
      <c r="P45" s="100">
        <f t="shared" si="14"/>
        <v>-69369.759749999997</v>
      </c>
    </row>
    <row r="46" spans="1:16" x14ac:dyDescent="0.25">
      <c r="A46" s="53">
        <f>(CT!$B$23+CT!$B$24*'Simulador Estabilización'!$D$5+('Simulador Estabilización'!$D11*CT!$B$25)+('Simulador Estabilización'!$E11*CT!$B$26))</f>
        <v>324875.60600000003</v>
      </c>
      <c r="B46" s="53">
        <f>IF((CT!$C$25*'Simulador Estabilización'!$D11+'Simulador Estabilización'!$E11*CT!$C$26)&lt;'Simulador Estabilización'!$F$50,'Simulador Estabilización'!$F$50,(CT!$C$25*'Simulador Estabilización'!$D11+'Simulador Estabilización'!$E11*CT!$C$26))</f>
        <v>241795.06999999998</v>
      </c>
      <c r="C46" s="53">
        <f t="shared" si="8"/>
        <v>-83080.536000000051</v>
      </c>
      <c r="D46" s="45"/>
      <c r="E46" s="78">
        <f>AVERAGE('Simulador Estabilización'!D7:D11,'Simulador Estabilización'!D18)</f>
        <v>45</v>
      </c>
      <c r="F46" s="79">
        <f>AVERAGE('Simulador Estabilización'!E7:E11,'Simulador Estabilización'!E18)</f>
        <v>541.66666666666663</v>
      </c>
      <c r="G46" s="53">
        <f>(CT!$B$23+CT!$B$24*'Simulador Estabilización'!$D$5+($E46*CT!$B$25)+($F46*CT!$B$26))</f>
        <v>200618.19699999999</v>
      </c>
      <c r="H46" s="53">
        <f>IF((CT!$C$25*$E46+$F46*CT!$C$26)&lt;'Simulador Estabilización'!$F$50,'Simulador Estabilización'!$F$50,(CT!$C$25*$E46+$F46*CT!$C$26))</f>
        <v>70377.284</v>
      </c>
      <c r="I46" s="53">
        <f t="shared" si="9"/>
        <v>-171417.78599999996</v>
      </c>
      <c r="J46" s="57">
        <f t="shared" si="10"/>
        <v>70377.284000000014</v>
      </c>
      <c r="K46" s="58"/>
      <c r="L46" s="53">
        <f t="shared" si="11"/>
        <v>70377.284000000014</v>
      </c>
      <c r="N46" s="47">
        <f t="shared" si="12"/>
        <v>241795.06999999998</v>
      </c>
      <c r="O46" s="47">
        <f t="shared" si="13"/>
        <v>70377.284000000014</v>
      </c>
      <c r="P46" s="100">
        <f t="shared" si="14"/>
        <v>-171417.78599999996</v>
      </c>
    </row>
    <row r="47" spans="1:16" x14ac:dyDescent="0.25">
      <c r="A47" s="53">
        <f>(CT!$B$23+CT!$B$24*'Simulador Estabilización'!$D$5+('Simulador Estabilización'!$D12*CT!$B$25)+('Simulador Estabilización'!$E12*CT!$B$26))</f>
        <v>232853.06600000002</v>
      </c>
      <c r="B47" s="53">
        <f>IF((CT!$C$25*'Simulador Estabilización'!$D12+'Simulador Estabilización'!$E12*CT!$C$26)&lt;'Simulador Estabilización'!$F$50,'Simulador Estabilización'!$F$50,(CT!$C$25*'Simulador Estabilización'!$D12+'Simulador Estabilización'!$E12*CT!$C$26))</f>
        <v>118459.985</v>
      </c>
      <c r="C47" s="53">
        <f t="shared" si="8"/>
        <v>-114393.08100000002</v>
      </c>
      <c r="D47" s="45"/>
      <c r="E47" s="78">
        <f>AVERAGE('Simulador Estabilización'!D7:D12)</f>
        <v>57.5</v>
      </c>
      <c r="F47" s="79">
        <f>AVERAGE('Simulador Estabilización'!E7:E12)</f>
        <v>625</v>
      </c>
      <c r="G47" s="53">
        <f>(CT!$B$23+CT!$B$24*'Simulador Estabilización'!$D$5+($E47*CT!$B$25)+($F47*CT!$B$26))</f>
        <v>209005.16950000002</v>
      </c>
      <c r="H47" s="53">
        <f>IF((CT!$C$25*$E47+$F47*CT!$C$26)&lt;'Simulador Estabilización'!$F$50,'Simulador Estabilización'!$F$50,(CT!$C$25*$E47+$F47*CT!$C$26))</f>
        <v>82727.017749999999</v>
      </c>
      <c r="I47" s="53">
        <f t="shared" si="9"/>
        <v>-35732.967250000002</v>
      </c>
      <c r="J47" s="57">
        <f t="shared" si="10"/>
        <v>82727.017749999999</v>
      </c>
      <c r="K47" s="58"/>
      <c r="L47" s="53">
        <f t="shared" si="11"/>
        <v>82727.017749999999</v>
      </c>
      <c r="N47" s="47">
        <f t="shared" si="12"/>
        <v>118459.985</v>
      </c>
      <c r="O47" s="47">
        <f t="shared" si="13"/>
        <v>82727.017749999999</v>
      </c>
      <c r="P47" s="100">
        <f t="shared" si="14"/>
        <v>-35732.967250000002</v>
      </c>
    </row>
    <row r="48" spans="1:16" x14ac:dyDescent="0.25">
      <c r="A48" s="53">
        <f>(CT!$B$23+CT!$B$24*'Simulador Estabilización'!$D$5+('Simulador Estabilización'!$D13*CT!$B$25)+('Simulador Estabilización'!$E13*CT!$B$26))</f>
        <v>258605.386</v>
      </c>
      <c r="B48" s="53">
        <f>IF((CT!$C$25*'Simulador Estabilización'!$D13+'Simulador Estabilización'!$E13*CT!$C$26)&lt;'Simulador Estabilización'!$F$50,'Simulador Estabilización'!$F$50,(CT!$C$25*'Simulador Estabilización'!$D13+'Simulador Estabilización'!$E13*CT!$C$26))</f>
        <v>161846.44</v>
      </c>
      <c r="C48" s="53">
        <f t="shared" si="8"/>
        <v>-96758.945999999996</v>
      </c>
      <c r="D48" s="45"/>
      <c r="E48" s="78">
        <f>AVERAGE('Simulador Estabilización'!D8:D13)</f>
        <v>86.666666666666671</v>
      </c>
      <c r="F48" s="79">
        <f>AVERAGE('Simulador Estabilización'!E8:E13)</f>
        <v>783.33333333333337</v>
      </c>
      <c r="G48" s="53">
        <f>(CT!$B$23+CT!$B$24*'Simulador Estabilización'!$D$5+($E48*CT!$B$25)+($F48*CT!$B$26))</f>
        <v>225685.17533333338</v>
      </c>
      <c r="H48" s="53">
        <f>IF((CT!$C$25*$E48+$F48*CT!$C$26)&lt;'Simulador Estabilización'!$F$50,'Simulador Estabilización'!$F$50,(CT!$C$25*$E48+$F48*CT!$C$26))</f>
        <v>107670.22233333334</v>
      </c>
      <c r="I48" s="53">
        <f t="shared" si="9"/>
        <v>-54176.217666666664</v>
      </c>
      <c r="J48" s="57">
        <f t="shared" si="10"/>
        <v>107670.22233333334</v>
      </c>
      <c r="K48" s="58"/>
      <c r="L48" s="53">
        <f t="shared" si="11"/>
        <v>107670.22233333334</v>
      </c>
      <c r="N48" s="47">
        <f t="shared" si="12"/>
        <v>161846.44</v>
      </c>
      <c r="O48" s="47">
        <f t="shared" si="13"/>
        <v>107670.22233333334</v>
      </c>
      <c r="P48" s="100">
        <f t="shared" si="14"/>
        <v>-54176.217666666664</v>
      </c>
    </row>
    <row r="49" spans="1:16" x14ac:dyDescent="0.25">
      <c r="A49" s="53">
        <f>(CT!$B$23+CT!$B$24*'Simulador Estabilización'!$D$5+('Simulador Estabilización'!$D14*CT!$B$25)+('Simulador Estabilización'!$E14*CT!$B$26))</f>
        <v>380603.36599999998</v>
      </c>
      <c r="B49" s="53">
        <f>IF((CT!$C$25*'Simulador Estabilización'!$D14+'Simulador Estabilización'!$E14*CT!$C$26)&lt;'Simulador Estabilización'!$F$50,'Simulador Estabilización'!$F$50,(CT!$C$25*'Simulador Estabilización'!$D14+'Simulador Estabilización'!$E14*CT!$C$26))</f>
        <v>396327.78500000003</v>
      </c>
      <c r="C49" s="53">
        <f t="shared" si="8"/>
        <v>15724.419000000053</v>
      </c>
      <c r="D49" s="45"/>
      <c r="E49" s="78">
        <f>AVERAGE('Simulador Estabilización'!D9:D14)</f>
        <v>251.66666666666666</v>
      </c>
      <c r="F49" s="79">
        <f>AVERAGE('Simulador Estabilización'!E9:E14)</f>
        <v>966.66666666666663</v>
      </c>
      <c r="G49" s="53">
        <f>(CT!$B$23+CT!$B$24*'Simulador Estabilización'!$D$5+($E49*CT!$B$25)+($F49*CT!$B$26))</f>
        <v>263041.91233333334</v>
      </c>
      <c r="H49" s="53">
        <f>IF((CT!$C$25*$E49+$F49*CT!$C$26)&lt;'Simulador Estabilización'!$F$50,'Simulador Estabilización'!$F$50,(CT!$C$25*$E49+$F49*CT!$C$26))</f>
        <v>172376.13283333334</v>
      </c>
      <c r="I49" s="53">
        <f t="shared" si="9"/>
        <v>-223951.6521666667</v>
      </c>
      <c r="J49" s="57">
        <f t="shared" si="10"/>
        <v>172376.13283333334</v>
      </c>
      <c r="K49" s="58"/>
      <c r="L49" s="53">
        <f t="shared" si="11"/>
        <v>172376.13283333334</v>
      </c>
      <c r="N49" s="47">
        <f t="shared" si="12"/>
        <v>396327.78500000003</v>
      </c>
      <c r="O49" s="47">
        <f t="shared" si="13"/>
        <v>172376.13283333334</v>
      </c>
      <c r="P49" s="100">
        <f t="shared" si="14"/>
        <v>-223951.6521666667</v>
      </c>
    </row>
    <row r="50" spans="1:16" x14ac:dyDescent="0.25">
      <c r="A50" s="53">
        <f>(CT!$B$23+CT!$B$24*'Simulador Estabilización'!$D$5+('Simulador Estabilización'!$D15*CT!$B$25)+('Simulador Estabilización'!$E15*CT!$B$26))</f>
        <v>666133.42599999998</v>
      </c>
      <c r="B50" s="53">
        <f>IF((CT!$C$25*'Simulador Estabilización'!$D15+'Simulador Estabilización'!$E15*CT!$C$26)&lt;'Simulador Estabilización'!$F$50,'Simulador Estabilización'!$F$50,(CT!$C$25*'Simulador Estabilización'!$D15+'Simulador Estabilización'!$E15*CT!$C$26))</f>
        <v>867729.10000000009</v>
      </c>
      <c r="C50" s="53">
        <f t="shared" si="8"/>
        <v>201595.67400000012</v>
      </c>
      <c r="D50" s="45"/>
      <c r="E50" s="78">
        <f>AVERAGE('Simulador Estabilización'!D10:D15)</f>
        <v>583.33333333333337</v>
      </c>
      <c r="F50" s="79">
        <f>AVERAGE('Simulador Estabilización'!E10:E15)</f>
        <v>1458.3333333333333</v>
      </c>
      <c r="G50" s="53">
        <f>(CT!$B$23+CT!$B$24*'Simulador Estabilización'!$D$5+($E50*CT!$B$25)+($F50*CT!$B$26))</f>
        <v>347986.99266666669</v>
      </c>
      <c r="H50" s="53">
        <f>IF((CT!$C$25*$E50+$F50*CT!$C$26)&lt;'Simulador Estabilización'!$F$50,'Simulador Estabilización'!$F$50,(CT!$C$25*$E50+$F50*CT!$C$26))</f>
        <v>315648.9291666667</v>
      </c>
      <c r="I50" s="53">
        <f t="shared" si="9"/>
        <v>-552080.1708333334</v>
      </c>
      <c r="J50" s="57">
        <f t="shared" si="10"/>
        <v>315648.9291666667</v>
      </c>
      <c r="K50" s="58"/>
      <c r="L50" s="53">
        <f t="shared" si="11"/>
        <v>315648.9291666667</v>
      </c>
      <c r="N50" s="47">
        <f t="shared" si="12"/>
        <v>867729.10000000009</v>
      </c>
      <c r="O50" s="47">
        <f t="shared" si="13"/>
        <v>315648.9291666667</v>
      </c>
      <c r="P50" s="100">
        <f t="shared" si="14"/>
        <v>-552080.1708333334</v>
      </c>
    </row>
    <row r="51" spans="1:16" x14ac:dyDescent="0.25">
      <c r="A51" s="53">
        <f>(CT!$B$23+CT!$B$24*'Simulador Estabilización'!$D$5+('Simulador Estabilización'!$D16*CT!$B$25)+('Simulador Estabilización'!$E16*CT!$B$26))</f>
        <v>232344.96600000001</v>
      </c>
      <c r="B51" s="53">
        <f>IF((CT!$C$25*'Simulador Estabilización'!$D16+'Simulador Estabilización'!$E16*CT!$C$26)&lt;'Simulador Estabilización'!$F$50,'Simulador Estabilización'!$F$50,(CT!$C$25*'Simulador Estabilización'!$D16+'Simulador Estabilización'!$E16*CT!$C$26))</f>
        <v>135521.76</v>
      </c>
      <c r="C51" s="53">
        <f t="shared" si="8"/>
        <v>-96823.206000000006</v>
      </c>
      <c r="D51" s="45"/>
      <c r="E51" s="78">
        <f>AVERAGE('Simulador Estabilización'!D11:D16)</f>
        <v>616.66666666666663</v>
      </c>
      <c r="F51" s="79">
        <f>AVERAGE('Simulador Estabilización'!E11:E16)</f>
        <v>1416.6666666666667</v>
      </c>
      <c r="G51" s="53">
        <f>(CT!$B$23+CT!$B$24*'Simulador Estabilización'!$D$5+($E51*CT!$B$25)+($F51*CT!$B$26))</f>
        <v>349235.96933333331</v>
      </c>
      <c r="H51" s="53">
        <f>IF((CT!$C$25*$E51+$F51*CT!$C$26)&lt;'Simulador Estabilización'!$F$50,'Simulador Estabilización'!$F$50,(CT!$C$25*$E51+$F51*CT!$C$26))</f>
        <v>320280.02333333332</v>
      </c>
      <c r="I51" s="53">
        <f t="shared" si="9"/>
        <v>184758.26333333331</v>
      </c>
      <c r="J51" s="57">
        <f t="shared" si="10"/>
        <v>320280.02333333332</v>
      </c>
      <c r="K51" s="58"/>
      <c r="L51" s="53">
        <f t="shared" si="11"/>
        <v>320280.02333333332</v>
      </c>
      <c r="N51" s="47">
        <f t="shared" si="12"/>
        <v>135521.76</v>
      </c>
      <c r="O51" s="47">
        <f t="shared" si="13"/>
        <v>320280.02333333332</v>
      </c>
      <c r="P51" s="100">
        <f t="shared" si="14"/>
        <v>184758.26333333331</v>
      </c>
    </row>
    <row r="52" spans="1:16" x14ac:dyDescent="0.25">
      <c r="A52" s="53">
        <f>(CT!$B$23+CT!$B$24*'Simulador Estabilización'!$D$5+('Simulador Estabilización'!$D17*CT!$B$25)+('Simulador Estabilización'!$E17*CT!$B$26))</f>
        <v>186532.21100000001</v>
      </c>
      <c r="B52" s="53">
        <f>IF((CT!$C$25*'Simulador Estabilización'!$D17+'Simulador Estabilización'!$E17*CT!$C$26)&lt;'Simulador Estabilización'!$F$50,'Simulador Estabilización'!$F$50,(CT!$C$25*'Simulador Estabilización'!$D17+'Simulador Estabilización'!$E17*CT!$C$26))</f>
        <v>49723.977500000001</v>
      </c>
      <c r="C52" s="53">
        <f t="shared" si="8"/>
        <v>-136808.2335</v>
      </c>
      <c r="D52" s="45"/>
      <c r="E52" s="78">
        <f>AVERAGE('Simulador Estabilización'!D12:D17)</f>
        <v>604.16666666666663</v>
      </c>
      <c r="F52" s="79">
        <f>AVERAGE('Simulador Estabilización'!E12:E17)</f>
        <v>1150</v>
      </c>
      <c r="G52" s="53">
        <f>(CT!$B$23+CT!$B$24*'Simulador Estabilización'!$D$5+($E52*CT!$B$25)+($F52*CT!$B$26))</f>
        <v>326178.73683333333</v>
      </c>
      <c r="H52" s="53">
        <f>IF((CT!$C$25*$E52+$F52*CT!$C$26)&lt;'Simulador Estabilización'!$F$50,'Simulador Estabilización'!$F$50,(CT!$C$25*$E52+$F52*CT!$C$26))</f>
        <v>288268.17458333331</v>
      </c>
      <c r="I52" s="53">
        <f t="shared" si="9"/>
        <v>238544.1970833333</v>
      </c>
      <c r="J52" s="57">
        <f t="shared" si="10"/>
        <v>288268.17458333331</v>
      </c>
      <c r="K52" s="58"/>
      <c r="L52" s="53">
        <f t="shared" si="11"/>
        <v>288268.17458333331</v>
      </c>
      <c r="N52" s="47">
        <f t="shared" si="12"/>
        <v>49723.977500000001</v>
      </c>
      <c r="O52" s="47">
        <f t="shared" si="13"/>
        <v>288268.17458333331</v>
      </c>
      <c r="P52" s="100">
        <f t="shared" si="14"/>
        <v>238544.1970833333</v>
      </c>
    </row>
    <row r="53" spans="1:16" x14ac:dyDescent="0.25">
      <c r="A53" s="54">
        <f>(CT!$B$23+CT!$B$24*'Simulador Estabilización'!$D$5+('Simulador Estabilización'!$D18*CT!$B$25)+('Simulador Estabilización'!$E18*CT!$B$26))</f>
        <v>182531.23100000003</v>
      </c>
      <c r="B53" s="54">
        <f>IF((CT!$C$25*'Simulador Estabilización'!$D18+'Simulador Estabilización'!$E18*CT!$C$26)&lt;'Simulador Estabilización'!$F$50,'Simulador Estabilización'!$F$50,(CT!$C$25*'Simulador Estabilización'!$D18+'Simulador Estabilización'!$E18*CT!$C$26))</f>
        <v>44361.582499999997</v>
      </c>
      <c r="C53" s="54">
        <f t="shared" si="8"/>
        <v>-138169.64850000004</v>
      </c>
      <c r="D53" s="45"/>
      <c r="E53" s="80">
        <f>AVERAGE('Simulador Estabilización'!D13:D18)</f>
        <v>591.66666666666663</v>
      </c>
      <c r="F53" s="81">
        <f>AVERAGE('Simulador Estabilización'!E13:E18)</f>
        <v>1066.6666666666667</v>
      </c>
      <c r="G53" s="54">
        <f>(CT!$B$23+CT!$B$24*'Simulador Estabilización'!$D$5+($E53*CT!$B$25)+($F53*CT!$B$26))</f>
        <v>317791.76433333335</v>
      </c>
      <c r="H53" s="54">
        <f>IF((CT!$C$25*$E53+$F53*CT!$C$26)&lt;'Simulador Estabilización'!$F$50,'Simulador Estabilización'!$F$50,(CT!$C$25*$E53+$F53*CT!$C$26))</f>
        <v>275918.4408333333</v>
      </c>
      <c r="I53" s="54">
        <f t="shared" si="9"/>
        <v>231556.85833333331</v>
      </c>
      <c r="J53" s="59">
        <f t="shared" si="10"/>
        <v>275918.4408333333</v>
      </c>
      <c r="K53" s="60">
        <f>B54-J54</f>
        <v>31642.843499999959</v>
      </c>
      <c r="L53" s="54">
        <f t="shared" si="11"/>
        <v>307561.28433333326</v>
      </c>
      <c r="N53" s="47">
        <f t="shared" si="12"/>
        <v>44361.582499999997</v>
      </c>
      <c r="O53" s="47">
        <f t="shared" si="13"/>
        <v>307561.28433333326</v>
      </c>
      <c r="P53" s="100">
        <f t="shared" si="14"/>
        <v>263199.70183333324</v>
      </c>
    </row>
    <row r="54" spans="1:16" x14ac:dyDescent="0.25">
      <c r="A54" s="72">
        <f>SUM(A42:A53)</f>
        <v>3160781.6030000006</v>
      </c>
      <c r="B54" s="72">
        <f>SUM(B42:B53)</f>
        <v>2183515.5949999997</v>
      </c>
      <c r="C54" s="72">
        <f>SUM(C42:C53)</f>
        <v>-977266.00800000015</v>
      </c>
      <c r="E54" s="82">
        <f t="shared" ref="E54:L54" si="15">SUM(E42:E53)</f>
        <v>3894.9999999999995</v>
      </c>
      <c r="F54" s="83">
        <f t="shared" si="15"/>
        <v>10150</v>
      </c>
      <c r="G54" s="72">
        <f t="shared" si="15"/>
        <v>3160781.6030000006</v>
      </c>
      <c r="H54" s="72">
        <f t="shared" si="15"/>
        <v>2151872.7514999998</v>
      </c>
      <c r="I54" s="72">
        <f t="shared" si="15"/>
        <v>-31642.843500000163</v>
      </c>
      <c r="J54" s="72">
        <f t="shared" si="15"/>
        <v>2151872.7514999998</v>
      </c>
      <c r="K54" s="72">
        <f t="shared" si="15"/>
        <v>31642.843499999959</v>
      </c>
      <c r="L54" s="72">
        <f t="shared" si="15"/>
        <v>2183515.5949999997</v>
      </c>
      <c r="N54" s="72">
        <f>SUM(N42:N53)</f>
        <v>2183515.5949999997</v>
      </c>
      <c r="O54" s="72">
        <f>SUM(O42:O53)</f>
        <v>2183515.5949999997</v>
      </c>
      <c r="P54" s="72">
        <f>SUM(P42:P53)</f>
        <v>0</v>
      </c>
    </row>
    <row r="55" spans="1:16" x14ac:dyDescent="0.25">
      <c r="E55" s="126">
        <f>SUM(E42:F53)</f>
        <v>14044.999999999998</v>
      </c>
      <c r="F55" s="127"/>
    </row>
    <row r="56" spans="1:16" x14ac:dyDescent="0.25">
      <c r="B56" s="4"/>
      <c r="C56" s="46"/>
      <c r="E56" s="63"/>
      <c r="F56" s="4" t="s">
        <v>33</v>
      </c>
      <c r="G56" s="46">
        <f>250*CT!B26</f>
        <v>20004.899999999998</v>
      </c>
    </row>
  </sheetData>
  <dataConsolidate/>
  <mergeCells count="14">
    <mergeCell ref="E55:F55"/>
    <mergeCell ref="E32:L32"/>
    <mergeCell ref="A32:C32"/>
    <mergeCell ref="H3:K3"/>
    <mergeCell ref="D4:E4"/>
    <mergeCell ref="F4:G4"/>
    <mergeCell ref="H4:I4"/>
    <mergeCell ref="J4:K4"/>
    <mergeCell ref="B11:C13"/>
    <mergeCell ref="D11:G11"/>
    <mergeCell ref="D12:E12"/>
    <mergeCell ref="F12:G12"/>
    <mergeCell ref="B3:C5"/>
    <mergeCell ref="D3:G3"/>
  </mergeCells>
  <pageMargins left="0.7" right="0.7" top="0.75" bottom="0.75" header="0.3" footer="0.3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Simulador Estabilización</vt:lpstr>
      <vt:lpstr>CT</vt:lpstr>
      <vt:lpstr>Vista 1</vt:lpstr>
      <vt:lpstr>Vista 2</vt:lpstr>
      <vt:lpstr>Vista 3</vt:lpstr>
      <vt:lpstr>CT!Área_de_impresión</vt:lpstr>
      <vt:lpstr>'Simulador Estabilización'!Área_de_impresión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CastilloJ</dc:creator>
  <cp:lastModifiedBy>Virginia Maria Vega</cp:lastModifiedBy>
  <cp:lastPrinted>2019-02-04T15:45:05Z</cp:lastPrinted>
  <dcterms:created xsi:type="dcterms:W3CDTF">2019-01-04T15:10:40Z</dcterms:created>
  <dcterms:modified xsi:type="dcterms:W3CDTF">2024-11-06T11:39:22Z</dcterms:modified>
</cp:coreProperties>
</file>